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firstSheet="23" activeTab="28"/>
  </bookViews>
  <sheets>
    <sheet name="预计销售表" sheetId="1" r:id="rId1"/>
    <sheet name="预计制造费用明细表" sheetId="2" r:id="rId2"/>
    <sheet name="预计制造费用明细表 " sheetId="15" r:id="rId3"/>
    <sheet name="预计管理费用明细表" sheetId="4" r:id="rId4"/>
    <sheet name="预计定额成本" sheetId="5" r:id="rId5"/>
    <sheet name="预计投资收益和营业外收入支出表" sheetId="6" r:id="rId6"/>
    <sheet name="销售预算分析" sheetId="8" r:id="rId7"/>
    <sheet name="生产预算分析表公式" sheetId="9" r:id="rId8"/>
    <sheet name="生产预算分析表" sheetId="10" r:id="rId9"/>
    <sheet name="直接材料预算分析表公式" sheetId="12" r:id="rId10"/>
    <sheet name="直接材料预算分析表" sheetId="11" r:id="rId11"/>
    <sheet name="直接人工预算分析表公式" sheetId="14" r:id="rId12"/>
    <sheet name="直接人工预算分析表" sheetId="13" r:id="rId13"/>
    <sheet name="制造费用预算分析表公式" sheetId="17" r:id="rId14"/>
    <sheet name="制造费用预算分析表" sheetId="16" r:id="rId15"/>
    <sheet name="财务费用预算分析表" sheetId="18" r:id="rId16"/>
    <sheet name="财务费用预算分析表公式" sheetId="19" r:id="rId17"/>
    <sheet name="预计财务费用明细表" sheetId="3" r:id="rId18"/>
    <sheet name="管理费用预算分析表" sheetId="20" r:id="rId19"/>
    <sheet name="管理费用预算分析表公式 " sheetId="21" r:id="rId20"/>
    <sheet name="营业费用预算分析表" sheetId="22" r:id="rId21"/>
    <sheet name="营业费用预算分析表公式" sheetId="23" r:id="rId22"/>
    <sheet name="成本预算分析表公式" sheetId="25" r:id="rId23"/>
    <sheet name="产品成本预算分析表" sheetId="24" r:id="rId24"/>
    <sheet name="现金预算分析表" sheetId="26" r:id="rId25"/>
    <sheet name="损益表公式" sheetId="28" r:id="rId26"/>
    <sheet name="预算损益表" sheetId="27" r:id="rId27"/>
    <sheet name="资产负债表公式" sheetId="30" r:id="rId28"/>
    <sheet name="预算资产负债表" sheetId="29" r:id="rId29"/>
    <sheet name="目录" sheetId="31" r:id="rId30"/>
  </sheets>
  <externalReferences>
    <externalReference r:id="rId31"/>
  </externalReferences>
  <definedNames>
    <definedName name="期初余额">[1]总账!$D$2:$D$23</definedName>
    <definedName name="期末余额">[1]总账!$G$2:$G$23</definedName>
    <definedName name="总账科目">[1]总账!$A$2:$A$23</definedName>
  </definedNames>
  <calcPr calcId="144525"/>
</workbook>
</file>

<file path=xl/sharedStrings.xml><?xml version="1.0" encoding="utf-8"?>
<sst xmlns="http://schemas.openxmlformats.org/spreadsheetml/2006/main" count="224">
  <si>
    <t>预计销售表</t>
  </si>
  <si>
    <t>时         间</t>
  </si>
  <si>
    <t>销  售  量（件）</t>
  </si>
  <si>
    <t>第一季度</t>
  </si>
  <si>
    <t>第二季度</t>
  </si>
  <si>
    <t>第三季度</t>
  </si>
  <si>
    <t>第四季度</t>
  </si>
  <si>
    <t>销 售 合 计</t>
  </si>
  <si>
    <t>销售单价（元）</t>
  </si>
  <si>
    <t>预计制造费用明细表</t>
  </si>
  <si>
    <t>项     目</t>
  </si>
  <si>
    <t>金    额（元）</t>
  </si>
  <si>
    <t>工  资</t>
  </si>
  <si>
    <t>福利费</t>
  </si>
  <si>
    <t>修理费</t>
  </si>
  <si>
    <t>折旧费</t>
  </si>
  <si>
    <t>办公费</t>
  </si>
  <si>
    <t>水电费</t>
  </si>
  <si>
    <t>租赁费</t>
  </si>
  <si>
    <t>保险费</t>
  </si>
  <si>
    <t>物料消耗</t>
  </si>
  <si>
    <t>劳动保护</t>
  </si>
  <si>
    <t>其他费用</t>
  </si>
  <si>
    <t>费 用 合 计</t>
  </si>
  <si>
    <t xml:space="preserve">                                                  单位：元</t>
  </si>
  <si>
    <t>项目</t>
  </si>
  <si>
    <t>变动制造费用</t>
  </si>
  <si>
    <t>固定制造费用</t>
  </si>
  <si>
    <t>折旧费用</t>
  </si>
  <si>
    <t>费用合计</t>
  </si>
  <si>
    <t>预计管理费用明细表</t>
  </si>
  <si>
    <t>项              目</t>
  </si>
  <si>
    <t>金       额（元）</t>
  </si>
  <si>
    <t>差旅费</t>
  </si>
  <si>
    <t>招待费</t>
  </si>
  <si>
    <t>工会经费</t>
  </si>
  <si>
    <t>低值易耗品摊消</t>
  </si>
  <si>
    <t>其  他</t>
  </si>
  <si>
    <t>合           计</t>
  </si>
  <si>
    <t>预计定额成本</t>
  </si>
  <si>
    <t>数值</t>
  </si>
  <si>
    <t>单位产品材料消耗定额（千克）</t>
  </si>
  <si>
    <t>单位产品定时定额（工时）</t>
  </si>
  <si>
    <t>单位工时的工资率（元）</t>
  </si>
  <si>
    <t>预计投资收益和营业外收入支出表</t>
  </si>
  <si>
    <t>季度</t>
  </si>
  <si>
    <t>投资收益</t>
  </si>
  <si>
    <t>营业外收入</t>
  </si>
  <si>
    <t>营业外支出</t>
  </si>
  <si>
    <t>合   计</t>
  </si>
  <si>
    <t>销售预算</t>
  </si>
  <si>
    <t xml:space="preserve">                                                单位：元</t>
  </si>
  <si>
    <t>一</t>
  </si>
  <si>
    <t>二</t>
  </si>
  <si>
    <t>三</t>
  </si>
  <si>
    <t>四</t>
  </si>
  <si>
    <t>全年</t>
  </si>
  <si>
    <t>预计销售量（件）</t>
  </si>
  <si>
    <t>单位售价</t>
  </si>
  <si>
    <t>预计销售收入</t>
  </si>
  <si>
    <t>预计现金收入</t>
  </si>
  <si>
    <t xml:space="preserve">                                                 单位：元</t>
  </si>
  <si>
    <t>上年应收账款</t>
  </si>
  <si>
    <t>现金收入合计</t>
  </si>
  <si>
    <t>生产预算分析表</t>
  </si>
  <si>
    <t xml:space="preserve">                                                                         单位：件</t>
  </si>
  <si>
    <t>一季度</t>
  </si>
  <si>
    <t>二季度</t>
  </si>
  <si>
    <t>三季度</t>
  </si>
  <si>
    <t>四季度</t>
  </si>
  <si>
    <t>预计销售量</t>
  </si>
  <si>
    <t xml:space="preserve">  加：预计期末存货量</t>
  </si>
  <si>
    <t>预计需求量合计</t>
  </si>
  <si>
    <t xml:space="preserve">  减：预计期初存货量</t>
  </si>
  <si>
    <t>预计生产量</t>
  </si>
  <si>
    <t>直接材料消耗：</t>
  </si>
  <si>
    <t xml:space="preserve">  单位产品消耗定额（千克）</t>
  </si>
  <si>
    <t>直接人工消耗：</t>
  </si>
  <si>
    <t xml:space="preserve">  单位产品定时定额（工时）</t>
  </si>
  <si>
    <t xml:space="preserve">                                                            单位：件</t>
  </si>
  <si>
    <t>直接材料预算分析表</t>
  </si>
  <si>
    <t>预计生产需用量（件）</t>
  </si>
  <si>
    <t xml:space="preserve">  加：预计期末存量</t>
  </si>
  <si>
    <t xml:space="preserve">  减：预计期初存量</t>
  </si>
  <si>
    <t>预计材料采购量</t>
  </si>
  <si>
    <t>预计单价（元）</t>
  </si>
  <si>
    <t>预计金额</t>
  </si>
  <si>
    <t>预计现金支出</t>
  </si>
  <si>
    <t xml:space="preserve">                                                                         单位：元</t>
  </si>
  <si>
    <t>期初应付账款</t>
  </si>
  <si>
    <t>第一季度采购</t>
  </si>
  <si>
    <t>第二季度采购</t>
  </si>
  <si>
    <t>第三季度采购</t>
  </si>
  <si>
    <t>第四季度采购</t>
  </si>
  <si>
    <t>现 金 支 出 合 计</t>
  </si>
  <si>
    <t xml:space="preserve">                                                           单位：元</t>
  </si>
  <si>
    <t>直接人工预算分析表</t>
  </si>
  <si>
    <t xml:space="preserve">                                                               单位：元</t>
  </si>
  <si>
    <t>预计人工总工时（工时）</t>
  </si>
  <si>
    <t>单位工时的工资率</t>
  </si>
  <si>
    <t>预计人工总成本</t>
  </si>
  <si>
    <t>制造费用预算分析表</t>
  </si>
  <si>
    <t xml:space="preserve">                                                                                单位：元</t>
  </si>
  <si>
    <t>费用分配率（元/时）</t>
  </si>
  <si>
    <t>折旧</t>
  </si>
  <si>
    <t>现金支出的费用</t>
  </si>
  <si>
    <t>财务费用预算分析表</t>
  </si>
  <si>
    <t xml:space="preserve">                             单位：元</t>
  </si>
  <si>
    <t>金额</t>
  </si>
  <si>
    <t>利息支出</t>
  </si>
  <si>
    <t>减：利息收入</t>
  </si>
  <si>
    <t>汇兑损失</t>
  </si>
  <si>
    <t>减：汇兑收益</t>
  </si>
  <si>
    <t>手续费</t>
  </si>
  <si>
    <t>财务费用现金支出</t>
  </si>
  <si>
    <t>财务费用每季现金支出</t>
  </si>
  <si>
    <t>预计财务费用明细表</t>
  </si>
  <si>
    <t>项           目</t>
  </si>
  <si>
    <t>金     额（元）</t>
  </si>
  <si>
    <t>利息收入</t>
  </si>
  <si>
    <t>汇兑收益</t>
  </si>
  <si>
    <t>合        计</t>
  </si>
  <si>
    <t>管理费用预算分析表</t>
  </si>
  <si>
    <t>管理费用合计</t>
  </si>
  <si>
    <t xml:space="preserve">  减：折旧</t>
  </si>
  <si>
    <t xml:space="preserve">      低值易耗品摊销</t>
  </si>
  <si>
    <t>管理费用现金支出</t>
  </si>
  <si>
    <t>管理费用每季现金支出</t>
  </si>
  <si>
    <t>营业费用预算分析表</t>
  </si>
  <si>
    <t xml:space="preserve">                                                       单位：元</t>
  </si>
  <si>
    <t>工资</t>
  </si>
  <si>
    <t>业务费</t>
  </si>
  <si>
    <t>广告费</t>
  </si>
  <si>
    <t>运输费</t>
  </si>
  <si>
    <t>营业费用现金支出</t>
  </si>
  <si>
    <t xml:space="preserve">                                                                                  单位：元</t>
  </si>
  <si>
    <t>成本预算分析表</t>
  </si>
  <si>
    <t xml:space="preserve">                                                                        单位：元</t>
  </si>
  <si>
    <t>单位成本</t>
  </si>
  <si>
    <t>生产成本</t>
  </si>
  <si>
    <t>期末存货</t>
  </si>
  <si>
    <t>销货成本</t>
  </si>
  <si>
    <t>每千克或每小时单价（元）</t>
  </si>
  <si>
    <t>投入量</t>
  </si>
  <si>
    <t>成本</t>
  </si>
  <si>
    <t>直接材料</t>
  </si>
  <si>
    <t>直接人工</t>
  </si>
  <si>
    <t>合计</t>
  </si>
  <si>
    <t>现金预算分析表</t>
  </si>
  <si>
    <t xml:space="preserve">                                                                单位：元</t>
  </si>
  <si>
    <t>现金收入：</t>
  </si>
  <si>
    <t>期初现金余额</t>
  </si>
  <si>
    <t>加：销售现金收入</t>
  </si>
  <si>
    <t xml:space="preserve">    其他现金收入</t>
  </si>
  <si>
    <t>可供使用现金合计</t>
  </si>
  <si>
    <t>现金支出：</t>
  </si>
  <si>
    <t xml:space="preserve">  减：直接材料</t>
  </si>
  <si>
    <t xml:space="preserve">      直接人工</t>
  </si>
  <si>
    <t xml:space="preserve">      制造费用</t>
  </si>
  <si>
    <t xml:space="preserve">      管理费用</t>
  </si>
  <si>
    <t xml:space="preserve">      营业费用</t>
  </si>
  <si>
    <t xml:space="preserve">      财务费用</t>
  </si>
  <si>
    <t xml:space="preserve">      所得税</t>
  </si>
  <si>
    <t xml:space="preserve">      购买固定资产</t>
  </si>
  <si>
    <t xml:space="preserve">      其他现金支出</t>
  </si>
  <si>
    <t>现金支出合计</t>
  </si>
  <si>
    <t>现金溢余或短缺</t>
  </si>
  <si>
    <t>筹集资金：</t>
  </si>
  <si>
    <t>向银行借款</t>
  </si>
  <si>
    <t>归还借款</t>
  </si>
  <si>
    <t>借款利息（年利10％）</t>
  </si>
  <si>
    <t>筹集应用资金合计</t>
  </si>
  <si>
    <t>期末现金余额</t>
  </si>
  <si>
    <t>预算损益表</t>
  </si>
  <si>
    <t xml:space="preserve">                                           单位：元</t>
  </si>
  <si>
    <t>期末数</t>
  </si>
  <si>
    <t>一、主营业务收入</t>
  </si>
  <si>
    <t xml:space="preserve">    减：主营业务成本</t>
  </si>
  <si>
    <t>二、主营业务利润</t>
  </si>
  <si>
    <t xml:space="preserve">    减：营业费用</t>
  </si>
  <si>
    <t xml:space="preserve">        管理费用</t>
  </si>
  <si>
    <t xml:space="preserve">        财务费用</t>
  </si>
  <si>
    <t>三、营业利润</t>
  </si>
  <si>
    <t xml:space="preserve">    加：投资收益</t>
  </si>
  <si>
    <t xml:space="preserve">        营业外收入</t>
  </si>
  <si>
    <t xml:space="preserve">    减：营业外支出</t>
  </si>
  <si>
    <t>四、利润总额</t>
  </si>
  <si>
    <t xml:space="preserve">    减：所得税</t>
  </si>
  <si>
    <t>五、净利润</t>
  </si>
  <si>
    <t xml:space="preserve"> </t>
  </si>
  <si>
    <t>资产负债表</t>
  </si>
  <si>
    <t xml:space="preserve">                                                                                     单位：元</t>
  </si>
  <si>
    <t>资产</t>
  </si>
  <si>
    <t>年初数</t>
  </si>
  <si>
    <t>年末数</t>
  </si>
  <si>
    <t>负债及所有者权益</t>
  </si>
  <si>
    <t>流动资产：</t>
  </si>
  <si>
    <t>流动负债：</t>
  </si>
  <si>
    <t>现金</t>
  </si>
  <si>
    <t>短期负债</t>
  </si>
  <si>
    <t>应收账款</t>
  </si>
  <si>
    <t>应付账款</t>
  </si>
  <si>
    <t>坏账准备</t>
  </si>
  <si>
    <t>应交税金</t>
  </si>
  <si>
    <t>应收账款净额</t>
  </si>
  <si>
    <t>存货</t>
  </si>
  <si>
    <t>流动资产合计</t>
  </si>
  <si>
    <t>流动负债合计</t>
  </si>
  <si>
    <t>固定资产：</t>
  </si>
  <si>
    <t>所有者权益：</t>
  </si>
  <si>
    <t>固定资产原值</t>
  </si>
  <si>
    <t>实收资本</t>
  </si>
  <si>
    <t>累计折旧</t>
  </si>
  <si>
    <t>盈余公积</t>
  </si>
  <si>
    <t>固定资产净值</t>
  </si>
  <si>
    <t>未分配利润</t>
  </si>
  <si>
    <t>固定资产合计</t>
  </si>
  <si>
    <t>所有者权益合计</t>
  </si>
  <si>
    <t>资产合计</t>
  </si>
  <si>
    <t>负债及所有者权益合计</t>
  </si>
  <si>
    <t>预算编制</t>
  </si>
  <si>
    <t>基础数据</t>
  </si>
  <si>
    <t>费用</t>
  </si>
  <si>
    <t>综合数据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</si>
</sst>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.00_);[Red]\(0.00\)"/>
    <numFmt numFmtId="178" formatCode="0.00_ "/>
    <numFmt numFmtId="179" formatCode="0.0;_쐀"/>
    <numFmt numFmtId="180" formatCode="0;_쐀"/>
    <numFmt numFmtId="181" formatCode="0.00;_쐀"/>
    <numFmt numFmtId="8" formatCode="&quot;￥&quot;#,##0.00;[Red]&quot;￥&quot;\-#,##0.00"/>
  </numFmts>
  <fonts count="32">
    <font>
      <sz val="12"/>
      <name val="宋体"/>
      <charset val="134"/>
    </font>
    <font>
      <b/>
      <sz val="36"/>
      <color theme="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name val="华文行楷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4"/>
      <name val="华文行楷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22" fillId="19" borderId="3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13" borderId="38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2" borderId="36" applyNumberFormat="0" applyAlignment="0" applyProtection="0">
      <alignment vertical="center"/>
    </xf>
    <xf numFmtId="0" fontId="31" fillId="12" borderId="39" applyNumberFormat="0" applyAlignment="0" applyProtection="0">
      <alignment vertical="center"/>
    </xf>
    <xf numFmtId="0" fontId="24" fillId="27" borderId="4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4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8" fontId="7" fillId="4" borderId="7" xfId="0" applyNumberFormat="1" applyFont="1" applyFill="1" applyBorder="1" applyAlignment="1">
      <alignment horizontal="center" vertical="center"/>
    </xf>
    <xf numFmtId="178" fontId="7" fillId="4" borderId="8" xfId="0" applyNumberFormat="1" applyFont="1" applyFill="1" applyBorder="1" applyAlignment="1">
      <alignment horizontal="center" vertical="center"/>
    </xf>
    <xf numFmtId="177" fontId="7" fillId="4" borderId="10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/>
    </xf>
    <xf numFmtId="178" fontId="6" fillId="0" borderId="7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178" fontId="7" fillId="4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4" borderId="12" xfId="0" applyNumberFormat="1" applyFont="1" applyFill="1" applyBorder="1" applyAlignment="1">
      <alignment horizontal="center" vertical="center"/>
    </xf>
    <xf numFmtId="178" fontId="7" fillId="4" borderId="13" xfId="0" applyNumberFormat="1" applyFont="1" applyFill="1" applyBorder="1" applyAlignment="1">
      <alignment horizontal="center" vertical="center"/>
    </xf>
    <xf numFmtId="177" fontId="7" fillId="4" borderId="12" xfId="0" applyNumberFormat="1" applyFont="1" applyFill="1" applyBorder="1" applyAlignment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/>
    </xf>
    <xf numFmtId="178" fontId="0" fillId="0" borderId="0" xfId="0" applyNumberForma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0" borderId="0" xfId="0" applyFont="1"/>
    <xf numFmtId="0" fontId="8" fillId="0" borderId="6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8" fontId="9" fillId="4" borderId="7" xfId="0" applyNumberFormat="1" applyFont="1" applyFill="1" applyBorder="1" applyAlignment="1">
      <alignment horizontal="center" vertical="center"/>
    </xf>
    <xf numFmtId="178" fontId="9" fillId="4" borderId="8" xfId="0" applyNumberFormat="1" applyFont="1" applyFill="1" applyBorder="1" applyAlignment="1">
      <alignment horizontal="center" vertical="center"/>
    </xf>
    <xf numFmtId="177" fontId="9" fillId="4" borderId="10" xfId="0" applyNumberFormat="1" applyFont="1" applyFill="1" applyBorder="1" applyAlignment="1">
      <alignment horizontal="center" vertical="center"/>
    </xf>
    <xf numFmtId="178" fontId="9" fillId="4" borderId="9" xfId="0" applyNumberFormat="1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vertical="center"/>
    </xf>
    <xf numFmtId="178" fontId="8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178" fontId="8" fillId="0" borderId="9" xfId="0" applyNumberFormat="1" applyFont="1" applyBorder="1" applyAlignment="1">
      <alignment vertical="center"/>
    </xf>
    <xf numFmtId="178" fontId="9" fillId="4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8" fontId="9" fillId="4" borderId="12" xfId="0" applyNumberFormat="1" applyFont="1" applyFill="1" applyBorder="1" applyAlignment="1">
      <alignment horizontal="center" vertical="center"/>
    </xf>
    <xf numFmtId="178" fontId="9" fillId="4" borderId="13" xfId="0" applyNumberFormat="1" applyFont="1" applyFill="1" applyBorder="1" applyAlignment="1">
      <alignment horizontal="center" vertical="center"/>
    </xf>
    <xf numFmtId="177" fontId="9" fillId="4" borderId="12" xfId="0" applyNumberFormat="1" applyFont="1" applyFill="1" applyBorder="1" applyAlignment="1">
      <alignment horizontal="center" vertical="center"/>
    </xf>
    <xf numFmtId="178" fontId="9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6" fontId="6" fillId="0" borderId="9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Fill="1" applyBorder="1"/>
    <xf numFmtId="0" fontId="8" fillId="0" borderId="10" xfId="0" applyFont="1" applyBorder="1"/>
    <xf numFmtId="0" fontId="8" fillId="0" borderId="9" xfId="0" applyFont="1" applyBorder="1"/>
    <xf numFmtId="0" fontId="8" fillId="0" borderId="6" xfId="0" applyFont="1" applyBorder="1" applyAlignment="1">
      <alignment horizontal="center"/>
    </xf>
    <xf numFmtId="178" fontId="8" fillId="0" borderId="10" xfId="0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78" fontId="8" fillId="4" borderId="10" xfId="0" applyNumberFormat="1" applyFont="1" applyFill="1" applyBorder="1" applyAlignment="1">
      <alignment horizontal="center"/>
    </xf>
    <xf numFmtId="178" fontId="8" fillId="4" borderId="9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4" borderId="11" xfId="0" applyFont="1" applyFill="1" applyBorder="1" applyAlignment="1">
      <alignment horizontal="center"/>
    </xf>
    <xf numFmtId="178" fontId="8" fillId="4" borderId="12" xfId="0" applyNumberFormat="1" applyFont="1" applyFill="1" applyBorder="1" applyAlignment="1">
      <alignment horizontal="center"/>
    </xf>
    <xf numFmtId="178" fontId="8" fillId="4" borderId="14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/>
    </xf>
    <xf numFmtId="178" fontId="6" fillId="0" borderId="10" xfId="0" applyNumberFormat="1" applyFont="1" applyBorder="1" applyAlignment="1">
      <alignment horizontal="center"/>
    </xf>
    <xf numFmtId="178" fontId="6" fillId="0" borderId="9" xfId="0" applyNumberFormat="1" applyFont="1" applyBorder="1" applyAlignment="1">
      <alignment horizontal="center"/>
    </xf>
    <xf numFmtId="178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178" fontId="12" fillId="0" borderId="6" xfId="0" applyNumberFormat="1" applyFont="1" applyBorder="1" applyAlignment="1">
      <alignment horizontal="center"/>
    </xf>
    <xf numFmtId="178" fontId="12" fillId="0" borderId="10" xfId="0" applyNumberFormat="1" applyFont="1" applyBorder="1" applyAlignment="1">
      <alignment horizontal="center"/>
    </xf>
    <xf numFmtId="178" fontId="12" fillId="0" borderId="9" xfId="0" applyNumberFormat="1" applyFont="1" applyBorder="1" applyAlignment="1">
      <alignment horizontal="center"/>
    </xf>
    <xf numFmtId="0" fontId="12" fillId="0" borderId="0" xfId="0" applyFont="1"/>
    <xf numFmtId="178" fontId="12" fillId="0" borderId="11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78" fontId="12" fillId="0" borderId="12" xfId="0" applyNumberFormat="1" applyFont="1" applyBorder="1" applyAlignment="1">
      <alignment horizontal="center"/>
    </xf>
    <xf numFmtId="178" fontId="12" fillId="0" borderId="14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/>
    <xf numFmtId="0" fontId="6" fillId="0" borderId="16" xfId="0" applyFont="1" applyBorder="1"/>
    <xf numFmtId="0" fontId="6" fillId="0" borderId="0" xfId="0" applyFont="1"/>
    <xf numFmtId="178" fontId="6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78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78" fontId="0" fillId="0" borderId="24" xfId="0" applyNumberForma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/>
    </xf>
    <xf numFmtId="178" fontId="10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80" fontId="6" fillId="0" borderId="10" xfId="0" applyNumberFormat="1" applyFont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81" fontId="6" fillId="0" borderId="12" xfId="0" applyNumberFormat="1" applyFont="1" applyBorder="1" applyAlignment="1">
      <alignment horizontal="center" vertical="center"/>
    </xf>
    <xf numFmtId="181" fontId="6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80" fontId="12" fillId="0" borderId="10" xfId="0" applyNumberFormat="1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181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81" fontId="12" fillId="0" borderId="12" xfId="0" applyNumberFormat="1" applyFont="1" applyBorder="1" applyAlignment="1">
      <alignment horizontal="center" vertical="center"/>
    </xf>
    <xf numFmtId="181" fontId="12" fillId="0" borderId="1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center" vertical="center"/>
    </xf>
    <xf numFmtId="8" fontId="0" fillId="0" borderId="0" xfId="0" applyNumberFormat="1"/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78" fontId="12" fillId="0" borderId="12" xfId="0" applyNumberFormat="1" applyFont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178" fontId="12" fillId="0" borderId="26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624205</xdr:colOff>
      <xdr:row>0</xdr:row>
      <xdr:rowOff>0</xdr:rowOff>
    </xdr:to>
    <xdr:pic>
      <xdr:nvPicPr>
        <xdr:cNvPr id="1025" name="Picture 1" descr="资料一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492379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670560</xdr:colOff>
      <xdr:row>0</xdr:row>
      <xdr:rowOff>38100</xdr:rowOff>
    </xdr:from>
    <xdr:ext cx="184731" cy="941495"/>
    <xdr:sp>
      <xdr:nvSpPr>
        <xdr:cNvPr id="2" name="文本框 1"/>
        <xdr:cNvSpPr txBox="1"/>
      </xdr:nvSpPr>
      <xdr:spPr>
        <a:xfrm>
          <a:off x="2011680" y="38100"/>
          <a:ext cx="184150" cy="9410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36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oneCellAnchor>
  <xdr:twoCellAnchor>
    <xdr:from>
      <xdr:col>0</xdr:col>
      <xdr:colOff>565785</xdr:colOff>
      <xdr:row>13</xdr:row>
      <xdr:rowOff>0</xdr:rowOff>
    </xdr:from>
    <xdr:to>
      <xdr:col>1</xdr:col>
      <xdr:colOff>670560</xdr:colOff>
      <xdr:row>14</xdr:row>
      <xdr:rowOff>9525</xdr:rowOff>
    </xdr:to>
    <xdr:sp>
      <xdr:nvSpPr>
        <xdr:cNvPr id="3" name="矩形 2"/>
        <xdr:cNvSpPr/>
      </xdr:nvSpPr>
      <xdr:spPr>
        <a:xfrm>
          <a:off x="565785" y="2575560"/>
          <a:ext cx="775335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销售预算</a:t>
          </a:r>
          <a:endParaRPr lang="zh-CN" altLang="en-US" sz="1100"/>
        </a:p>
      </xdr:txBody>
    </xdr:sp>
    <xdr:clientData/>
  </xdr:twoCellAnchor>
  <xdr:twoCellAnchor>
    <xdr:from>
      <xdr:col>0</xdr:col>
      <xdr:colOff>565785</xdr:colOff>
      <xdr:row>15</xdr:row>
      <xdr:rowOff>50800</xdr:rowOff>
    </xdr:from>
    <xdr:to>
      <xdr:col>1</xdr:col>
      <xdr:colOff>670560</xdr:colOff>
      <xdr:row>16</xdr:row>
      <xdr:rowOff>60325</xdr:rowOff>
    </xdr:to>
    <xdr:sp>
      <xdr:nvSpPr>
        <xdr:cNvPr id="4" name="矩形 3"/>
        <xdr:cNvSpPr/>
      </xdr:nvSpPr>
      <xdr:spPr>
        <a:xfrm>
          <a:off x="565785" y="3022600"/>
          <a:ext cx="775335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生产预算</a:t>
          </a:r>
          <a:endParaRPr lang="zh-CN" altLang="en-US" sz="1100"/>
        </a:p>
      </xdr:txBody>
    </xdr:sp>
    <xdr:clientData/>
  </xdr:twoCellAnchor>
  <xdr:twoCellAnchor>
    <xdr:from>
      <xdr:col>2</xdr:col>
      <xdr:colOff>576580</xdr:colOff>
      <xdr:row>13</xdr:row>
      <xdr:rowOff>22225</xdr:rowOff>
    </xdr:from>
    <xdr:to>
      <xdr:col>4</xdr:col>
      <xdr:colOff>119380</xdr:colOff>
      <xdr:row>14</xdr:row>
      <xdr:rowOff>31750</xdr:rowOff>
    </xdr:to>
    <xdr:sp>
      <xdr:nvSpPr>
        <xdr:cNvPr id="7" name="矩形 6"/>
        <xdr:cNvSpPr/>
      </xdr:nvSpPr>
      <xdr:spPr>
        <a:xfrm>
          <a:off x="1917700" y="2597785"/>
          <a:ext cx="88392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制造费用</a:t>
          </a:r>
          <a:endParaRPr lang="zh-CN" altLang="en-US" sz="1100"/>
        </a:p>
      </xdr:txBody>
    </xdr:sp>
    <xdr:clientData/>
  </xdr:twoCellAnchor>
  <xdr:twoCellAnchor>
    <xdr:from>
      <xdr:col>2</xdr:col>
      <xdr:colOff>576580</xdr:colOff>
      <xdr:row>15</xdr:row>
      <xdr:rowOff>90170</xdr:rowOff>
    </xdr:from>
    <xdr:to>
      <xdr:col>4</xdr:col>
      <xdr:colOff>119380</xdr:colOff>
      <xdr:row>16</xdr:row>
      <xdr:rowOff>107315</xdr:rowOff>
    </xdr:to>
    <xdr:sp>
      <xdr:nvSpPr>
        <xdr:cNvPr id="8" name="矩形 7"/>
        <xdr:cNvSpPr/>
      </xdr:nvSpPr>
      <xdr:spPr>
        <a:xfrm>
          <a:off x="1917700" y="3061970"/>
          <a:ext cx="883920" cy="2152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财务费用</a:t>
          </a:r>
          <a:endParaRPr lang="zh-CN" altLang="en-US" sz="1100"/>
        </a:p>
      </xdr:txBody>
    </xdr:sp>
    <xdr:clientData/>
  </xdr:twoCellAnchor>
  <xdr:twoCellAnchor>
    <xdr:from>
      <xdr:col>4</xdr:col>
      <xdr:colOff>608965</xdr:colOff>
      <xdr:row>13</xdr:row>
      <xdr:rowOff>6350</xdr:rowOff>
    </xdr:from>
    <xdr:to>
      <xdr:col>6</xdr:col>
      <xdr:colOff>310515</xdr:colOff>
      <xdr:row>14</xdr:row>
      <xdr:rowOff>15875</xdr:rowOff>
    </xdr:to>
    <xdr:sp>
      <xdr:nvSpPr>
        <xdr:cNvPr id="9" name="矩形 8"/>
        <xdr:cNvSpPr/>
      </xdr:nvSpPr>
      <xdr:spPr>
        <a:xfrm>
          <a:off x="3291205" y="2581910"/>
          <a:ext cx="104267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产品成本预算</a:t>
          </a:r>
          <a:endParaRPr lang="zh-CN" altLang="en-US" sz="1100"/>
        </a:p>
      </xdr:txBody>
    </xdr:sp>
    <xdr:clientData/>
  </xdr:twoCellAnchor>
  <xdr:twoCellAnchor>
    <xdr:from>
      <xdr:col>5</xdr:col>
      <xdr:colOff>6350</xdr:colOff>
      <xdr:row>15</xdr:row>
      <xdr:rowOff>57150</xdr:rowOff>
    </xdr:from>
    <xdr:to>
      <xdr:col>6</xdr:col>
      <xdr:colOff>234950</xdr:colOff>
      <xdr:row>16</xdr:row>
      <xdr:rowOff>66675</xdr:rowOff>
    </xdr:to>
    <xdr:sp>
      <xdr:nvSpPr>
        <xdr:cNvPr id="10" name="矩形 9"/>
        <xdr:cNvSpPr/>
      </xdr:nvSpPr>
      <xdr:spPr>
        <a:xfrm>
          <a:off x="3359150" y="3028950"/>
          <a:ext cx="89916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/>
            <a:t>现金预算</a:t>
          </a:r>
          <a:endParaRPr lang="zh-CN" altLang="en-US" sz="1100"/>
        </a:p>
      </xdr:txBody>
    </xdr:sp>
    <xdr:clientData/>
  </xdr:twoCellAnchor>
  <xdr:twoCellAnchor>
    <xdr:from>
      <xdr:col>6</xdr:col>
      <xdr:colOff>518160</xdr:colOff>
      <xdr:row>13</xdr:row>
      <xdr:rowOff>28575</xdr:rowOff>
    </xdr:from>
    <xdr:to>
      <xdr:col>8</xdr:col>
      <xdr:colOff>436880</xdr:colOff>
      <xdr:row>14</xdr:row>
      <xdr:rowOff>38100</xdr:rowOff>
    </xdr:to>
    <xdr:sp>
      <xdr:nvSpPr>
        <xdr:cNvPr id="13" name="矩形 12"/>
        <xdr:cNvSpPr/>
      </xdr:nvSpPr>
      <xdr:spPr>
        <a:xfrm>
          <a:off x="4541520" y="2604135"/>
          <a:ext cx="125984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/>
            <a:t>预算损益表</a:t>
          </a:r>
          <a:endParaRPr lang="zh-CN" altLang="en-US" sz="1100"/>
        </a:p>
      </xdr:txBody>
    </xdr:sp>
    <xdr:clientData/>
  </xdr:twoCellAnchor>
  <xdr:twoCellAnchor>
    <xdr:from>
      <xdr:col>6</xdr:col>
      <xdr:colOff>518160</xdr:colOff>
      <xdr:row>15</xdr:row>
      <xdr:rowOff>79375</xdr:rowOff>
    </xdr:from>
    <xdr:to>
      <xdr:col>8</xdr:col>
      <xdr:colOff>436880</xdr:colOff>
      <xdr:row>16</xdr:row>
      <xdr:rowOff>88900</xdr:rowOff>
    </xdr:to>
    <xdr:sp>
      <xdr:nvSpPr>
        <xdr:cNvPr id="14" name="矩形 13"/>
        <xdr:cNvSpPr/>
      </xdr:nvSpPr>
      <xdr:spPr>
        <a:xfrm>
          <a:off x="4541520" y="3051175"/>
          <a:ext cx="125984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/>
            <a:t>预算资产负债表</a:t>
          </a:r>
          <a:endParaRPr lang="zh-CN" altLang="en-US" sz="1100"/>
        </a:p>
      </xdr:txBody>
    </xdr:sp>
    <xdr:clientData/>
  </xdr:twoCellAnchor>
  <xdr:twoCellAnchor editAs="oneCell">
    <xdr:from>
      <xdr:col>5</xdr:col>
      <xdr:colOff>139508</xdr:colOff>
      <xdr:row>8</xdr:row>
      <xdr:rowOff>190500</xdr:rowOff>
    </xdr:from>
    <xdr:to>
      <xdr:col>5</xdr:col>
      <xdr:colOff>660843</xdr:colOff>
      <xdr:row>11</xdr:row>
      <xdr:rowOff>142875</xdr:rowOff>
    </xdr:to>
    <xdr:pic>
      <xdr:nvPicPr>
        <xdr:cNvPr id="22" name="图片 2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5" y="1775460"/>
          <a:ext cx="521335" cy="546735"/>
        </a:xfrm>
        <a:prstGeom prst="rect">
          <a:avLst/>
        </a:prstGeom>
      </xdr:spPr>
    </xdr:pic>
    <xdr:clientData/>
  </xdr:twoCellAnchor>
  <xdr:twoCellAnchor editAs="oneCell">
    <xdr:from>
      <xdr:col>2</xdr:col>
      <xdr:colOff>670560</xdr:colOff>
      <xdr:row>8</xdr:row>
      <xdr:rowOff>85725</xdr:rowOff>
    </xdr:from>
    <xdr:to>
      <xdr:col>3</xdr:col>
      <xdr:colOff>612140</xdr:colOff>
      <xdr:row>12</xdr:row>
      <xdr:rowOff>0</xdr:rowOff>
    </xdr:to>
    <xdr:pic>
      <xdr:nvPicPr>
        <xdr:cNvPr id="24" name="图片 2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1670685"/>
          <a:ext cx="612140" cy="706755"/>
        </a:xfrm>
        <a:prstGeom prst="rect">
          <a:avLst/>
        </a:prstGeom>
      </xdr:spPr>
    </xdr:pic>
    <xdr:clientData/>
  </xdr:twoCellAnchor>
  <xdr:twoCellAnchor editAs="oneCell">
    <xdr:from>
      <xdr:col>7</xdr:col>
      <xdr:colOff>110917</xdr:colOff>
      <xdr:row>9</xdr:row>
      <xdr:rowOff>4511</xdr:rowOff>
    </xdr:from>
    <xdr:to>
      <xdr:col>7</xdr:col>
      <xdr:colOff>669082</xdr:colOff>
      <xdr:row>11</xdr:row>
      <xdr:rowOff>104206</xdr:rowOff>
    </xdr:to>
    <xdr:pic>
      <xdr:nvPicPr>
        <xdr:cNvPr id="25" name="图片 2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4410" y="1787525"/>
          <a:ext cx="558165" cy="495935"/>
        </a:xfrm>
        <a:prstGeom prst="rect">
          <a:avLst/>
        </a:prstGeom>
      </xdr:spPr>
    </xdr:pic>
    <xdr:clientData/>
  </xdr:twoCellAnchor>
  <xdr:twoCellAnchor editAs="oneCell">
    <xdr:from>
      <xdr:col>1</xdr:col>
      <xdr:colOff>90030</xdr:colOff>
      <xdr:row>9</xdr:row>
      <xdr:rowOff>28575</xdr:rowOff>
    </xdr:from>
    <xdr:to>
      <xdr:col>2</xdr:col>
      <xdr:colOff>34785</xdr:colOff>
      <xdr:row>11</xdr:row>
      <xdr:rowOff>133350</xdr:rowOff>
    </xdr:to>
    <xdr:pic>
      <xdr:nvPicPr>
        <xdr:cNvPr id="26" name="图片 25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" y="1811655"/>
          <a:ext cx="615315" cy="501015"/>
        </a:xfrm>
        <a:prstGeom prst="rect">
          <a:avLst/>
        </a:prstGeom>
      </xdr:spPr>
    </xdr:pic>
    <xdr:clientData/>
  </xdr:twoCellAnchor>
  <xdr:twoCellAnchor>
    <xdr:from>
      <xdr:col>2</xdr:col>
      <xdr:colOff>576580</xdr:colOff>
      <xdr:row>17</xdr:row>
      <xdr:rowOff>165735</xdr:rowOff>
    </xdr:from>
    <xdr:to>
      <xdr:col>4</xdr:col>
      <xdr:colOff>119380</xdr:colOff>
      <xdr:row>18</xdr:row>
      <xdr:rowOff>182880</xdr:rowOff>
    </xdr:to>
    <xdr:sp>
      <xdr:nvSpPr>
        <xdr:cNvPr id="27" name="矩形 26"/>
        <xdr:cNvSpPr/>
      </xdr:nvSpPr>
      <xdr:spPr>
        <a:xfrm>
          <a:off x="1917700" y="3533775"/>
          <a:ext cx="883920" cy="2152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管理费用</a:t>
          </a:r>
          <a:endParaRPr lang="zh-CN" altLang="en-US" sz="1100"/>
        </a:p>
      </xdr:txBody>
    </xdr:sp>
    <xdr:clientData/>
  </xdr:twoCellAnchor>
  <xdr:twoCellAnchor>
    <xdr:from>
      <xdr:col>2</xdr:col>
      <xdr:colOff>576580</xdr:colOff>
      <xdr:row>20</xdr:row>
      <xdr:rowOff>27940</xdr:rowOff>
    </xdr:from>
    <xdr:to>
      <xdr:col>4</xdr:col>
      <xdr:colOff>119380</xdr:colOff>
      <xdr:row>21</xdr:row>
      <xdr:rowOff>37465</xdr:rowOff>
    </xdr:to>
    <xdr:sp>
      <xdr:nvSpPr>
        <xdr:cNvPr id="28" name="矩形 27"/>
        <xdr:cNvSpPr/>
      </xdr:nvSpPr>
      <xdr:spPr>
        <a:xfrm>
          <a:off x="1917700" y="3990340"/>
          <a:ext cx="883920" cy="207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algn="l" rotWithShape="0">
            <a:srgbClr val="0070C0">
              <a:alpha val="40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营业费用</a:t>
          </a:r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640;\&#20462;&#25913;&#21518;\&#34920;\&#31532;9&#31456;\&#36164;&#20135;&#36127;&#2053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资产负债表"/>
      <sheetName val="明细表"/>
      <sheetName val="总账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D3" sqref="D3"/>
    </sheetView>
  </sheetViews>
  <sheetFormatPr defaultColWidth="8.8" defaultRowHeight="15.6" outlineLevelCol="1"/>
  <cols>
    <col min="1" max="1" width="23.875" customWidth="1"/>
    <col min="2" max="2" width="23.75" customWidth="1"/>
  </cols>
  <sheetData>
    <row r="1" ht="21" customHeight="1" spans="1:2">
      <c r="A1" s="125" t="s">
        <v>0</v>
      </c>
      <c r="B1" s="125"/>
    </row>
    <row r="2" ht="21" customHeight="1" spans="1:2">
      <c r="A2" s="245" t="s">
        <v>1</v>
      </c>
      <c r="B2" s="245" t="s">
        <v>2</v>
      </c>
    </row>
    <row r="3" ht="21" customHeight="1" spans="1:2">
      <c r="A3" s="220" t="s">
        <v>3</v>
      </c>
      <c r="B3" s="246">
        <v>2000</v>
      </c>
    </row>
    <row r="4" ht="21" customHeight="1" spans="1:2">
      <c r="A4" s="223" t="s">
        <v>4</v>
      </c>
      <c r="B4" s="247">
        <v>2500</v>
      </c>
    </row>
    <row r="5" ht="21" customHeight="1" spans="1:2">
      <c r="A5" s="223" t="s">
        <v>5</v>
      </c>
      <c r="B5" s="247">
        <v>3000</v>
      </c>
    </row>
    <row r="6" ht="21" customHeight="1" spans="1:2">
      <c r="A6" s="223" t="s">
        <v>6</v>
      </c>
      <c r="B6" s="247">
        <v>2800</v>
      </c>
    </row>
    <row r="7" ht="21" customHeight="1" spans="1:2">
      <c r="A7" s="223" t="s">
        <v>7</v>
      </c>
      <c r="B7" s="247">
        <f>SUM(B3:B6)</f>
        <v>10300</v>
      </c>
    </row>
    <row r="8" ht="21" customHeight="1" spans="1:2">
      <c r="A8" s="223"/>
      <c r="B8" s="247"/>
    </row>
    <row r="9" ht="21" customHeight="1" spans="1:2">
      <c r="A9" s="225" t="s">
        <v>8</v>
      </c>
      <c r="B9" s="227">
        <v>105</v>
      </c>
    </row>
  </sheetData>
  <mergeCells count="1">
    <mergeCell ref="A1:B1"/>
  </mergeCells>
  <pageMargins left="0.75" right="0.75" top="1" bottom="1" header="0.5" footer="0.5"/>
  <pageSetup paperSize="9" orientation="portrait" horizontalDpi="300" verticalDpi="300"/>
  <headerFooter alignWithMargins="0" scaleWithDoc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showFormulas="1" workbookViewId="0">
      <selection activeCell="H5" sqref="H5"/>
    </sheetView>
  </sheetViews>
  <sheetFormatPr defaultColWidth="8.8" defaultRowHeight="15.6" outlineLevelCol="5"/>
  <cols>
    <col min="1" max="6" width="18.7" customWidth="1"/>
  </cols>
  <sheetData>
    <row r="1" ht="21" customHeight="1" spans="1:6">
      <c r="A1" s="125" t="s">
        <v>80</v>
      </c>
      <c r="B1" s="125"/>
      <c r="C1" s="125"/>
      <c r="D1" s="125"/>
      <c r="E1" s="125"/>
      <c r="F1" s="125"/>
    </row>
    <row r="2" ht="21" customHeight="1" spans="1:6">
      <c r="A2" s="103" t="s">
        <v>45</v>
      </c>
      <c r="B2" s="156" t="s">
        <v>52</v>
      </c>
      <c r="C2" s="156" t="s">
        <v>53</v>
      </c>
      <c r="D2" s="156" t="s">
        <v>54</v>
      </c>
      <c r="E2" s="156" t="s">
        <v>55</v>
      </c>
      <c r="F2" s="185" t="s">
        <v>56</v>
      </c>
    </row>
    <row r="3" ht="21" customHeight="1" spans="1:6">
      <c r="A3" s="193" t="s">
        <v>81</v>
      </c>
      <c r="B3" s="107">
        <f>生产预算分析表!B11</f>
        <v>3607.5</v>
      </c>
      <c r="C3" s="107">
        <f>生产预算分析表!C11</f>
        <v>4717.5</v>
      </c>
      <c r="D3" s="107">
        <f>生产预算分析表!D11</f>
        <v>5513</v>
      </c>
      <c r="E3" s="107">
        <f>生产预算分析表!E11</f>
        <v>5180</v>
      </c>
      <c r="F3" s="194">
        <f>SUM(B3:E3)</f>
        <v>19018</v>
      </c>
    </row>
    <row r="4" ht="21" customHeight="1" spans="1:6">
      <c r="A4" s="193" t="s">
        <v>82</v>
      </c>
      <c r="B4" s="107">
        <f>C3*0.2</f>
        <v>943.5</v>
      </c>
      <c r="C4" s="107">
        <f>D3*0.2</f>
        <v>1102.6</v>
      </c>
      <c r="D4" s="107">
        <f>E3*0.2</f>
        <v>1036</v>
      </c>
      <c r="E4" s="107">
        <v>1100</v>
      </c>
      <c r="F4" s="194">
        <f>E4</f>
        <v>1100</v>
      </c>
    </row>
    <row r="5" ht="21" customHeight="1" spans="1:6">
      <c r="A5" s="193" t="s">
        <v>72</v>
      </c>
      <c r="B5" s="107">
        <f>B3+B4</f>
        <v>4551</v>
      </c>
      <c r="C5" s="107">
        <f>C3+C4</f>
        <v>5820.1</v>
      </c>
      <c r="D5" s="107">
        <f>D3+D4</f>
        <v>6549</v>
      </c>
      <c r="E5" s="107">
        <f>E3+E4</f>
        <v>6280</v>
      </c>
      <c r="F5" s="194">
        <f>F3+F4</f>
        <v>20118</v>
      </c>
    </row>
    <row r="6" ht="21" customHeight="1" spans="1:6">
      <c r="A6" s="193" t="s">
        <v>83</v>
      </c>
      <c r="B6" s="107">
        <v>1000</v>
      </c>
      <c r="C6" s="107">
        <f>B4</f>
        <v>943.5</v>
      </c>
      <c r="D6" s="107">
        <f>C4</f>
        <v>1102.6</v>
      </c>
      <c r="E6" s="107">
        <f>D4</f>
        <v>1036</v>
      </c>
      <c r="F6" s="194">
        <f>B6</f>
        <v>1000</v>
      </c>
    </row>
    <row r="7" ht="21" customHeight="1" spans="1:6">
      <c r="A7" s="193" t="s">
        <v>84</v>
      </c>
      <c r="B7" s="107">
        <f>B5-B6</f>
        <v>3551</v>
      </c>
      <c r="C7" s="107">
        <f>C5-C6</f>
        <v>4876.6</v>
      </c>
      <c r="D7" s="107">
        <f>D5-D6</f>
        <v>5446.4</v>
      </c>
      <c r="E7" s="107">
        <f>E5-E6</f>
        <v>5244</v>
      </c>
      <c r="F7" s="194">
        <f>F5-F6</f>
        <v>19118</v>
      </c>
    </row>
    <row r="8" ht="21" customHeight="1" spans="1:6">
      <c r="A8" s="193" t="s">
        <v>85</v>
      </c>
      <c r="B8" s="195">
        <v>20</v>
      </c>
      <c r="C8" s="195">
        <v>20</v>
      </c>
      <c r="D8" s="195">
        <v>20</v>
      </c>
      <c r="E8" s="195">
        <v>20</v>
      </c>
      <c r="F8" s="196">
        <v>20</v>
      </c>
    </row>
    <row r="9" ht="21" customHeight="1" spans="1:6">
      <c r="A9" s="197" t="s">
        <v>86</v>
      </c>
      <c r="B9" s="198">
        <f>B7*B8</f>
        <v>71020</v>
      </c>
      <c r="C9" s="198">
        <f>C7*C8</f>
        <v>97532</v>
      </c>
      <c r="D9" s="198">
        <f>D7*D8</f>
        <v>108928</v>
      </c>
      <c r="E9" s="198">
        <f>E7*E8</f>
        <v>104880</v>
      </c>
      <c r="F9" s="199">
        <f>F7*F8</f>
        <v>382360</v>
      </c>
    </row>
    <row r="10" ht="21" customHeight="1" spans="1:6">
      <c r="A10" s="125" t="s">
        <v>87</v>
      </c>
      <c r="B10" s="125"/>
      <c r="C10" s="125"/>
      <c r="D10" s="125"/>
      <c r="E10" s="125"/>
      <c r="F10" s="125"/>
    </row>
    <row r="11" ht="21" customHeight="1" spans="1:6">
      <c r="A11" s="200" t="s">
        <v>88</v>
      </c>
      <c r="B11" s="200"/>
      <c r="C11" s="200"/>
      <c r="D11" s="200"/>
      <c r="E11" s="200"/>
      <c r="F11" s="200"/>
    </row>
    <row r="12" ht="21" customHeight="1" spans="1:6">
      <c r="A12" s="103" t="s">
        <v>45</v>
      </c>
      <c r="B12" s="156" t="s">
        <v>52</v>
      </c>
      <c r="C12" s="156" t="s">
        <v>53</v>
      </c>
      <c r="D12" s="156" t="s">
        <v>54</v>
      </c>
      <c r="E12" s="156" t="s">
        <v>55</v>
      </c>
      <c r="F12" s="185" t="s">
        <v>56</v>
      </c>
    </row>
    <row r="13" ht="21" customHeight="1" spans="1:6">
      <c r="A13" s="201" t="s">
        <v>89</v>
      </c>
      <c r="B13" s="202">
        <v>35000</v>
      </c>
      <c r="C13" s="202"/>
      <c r="D13" s="202"/>
      <c r="E13" s="202"/>
      <c r="F13" s="203">
        <f t="shared" ref="F13:F18" si="0">SUM(B13:E13)</f>
        <v>35000</v>
      </c>
    </row>
    <row r="14" ht="21" customHeight="1" spans="1:6">
      <c r="A14" s="175" t="s">
        <v>90</v>
      </c>
      <c r="B14" s="195">
        <f>B9*0.7</f>
        <v>49714</v>
      </c>
      <c r="C14" s="195">
        <f>B9-B14</f>
        <v>21306</v>
      </c>
      <c r="D14" s="195"/>
      <c r="E14" s="195"/>
      <c r="F14" s="203">
        <f t="shared" si="0"/>
        <v>71020</v>
      </c>
    </row>
    <row r="15" ht="21" customHeight="1" spans="1:6">
      <c r="A15" s="175" t="s">
        <v>91</v>
      </c>
      <c r="B15" s="195"/>
      <c r="C15" s="195">
        <f>C9*0.7</f>
        <v>68272.4</v>
      </c>
      <c r="D15" s="195">
        <f>C9-C15</f>
        <v>29259.6</v>
      </c>
      <c r="E15" s="195"/>
      <c r="F15" s="203">
        <f t="shared" si="0"/>
        <v>97532</v>
      </c>
    </row>
    <row r="16" ht="21" customHeight="1" spans="1:6">
      <c r="A16" s="175" t="s">
        <v>92</v>
      </c>
      <c r="B16" s="195"/>
      <c r="C16" s="195"/>
      <c r="D16" s="195">
        <f>D9*0.7</f>
        <v>76249.6</v>
      </c>
      <c r="E16" s="195">
        <f>D9-D16</f>
        <v>32678.4</v>
      </c>
      <c r="F16" s="203">
        <f t="shared" si="0"/>
        <v>108928</v>
      </c>
    </row>
    <row r="17" ht="21" customHeight="1" spans="1:6">
      <c r="A17" s="175" t="s">
        <v>93</v>
      </c>
      <c r="B17" s="195"/>
      <c r="C17" s="195"/>
      <c r="D17" s="195"/>
      <c r="E17" s="195">
        <f>E9*0.7</f>
        <v>73416</v>
      </c>
      <c r="F17" s="203">
        <f t="shared" si="0"/>
        <v>73416</v>
      </c>
    </row>
    <row r="18" ht="21" customHeight="1" spans="1:6">
      <c r="A18" s="180" t="s">
        <v>94</v>
      </c>
      <c r="B18" s="198">
        <f>SUM(B13:B17)</f>
        <v>84714</v>
      </c>
      <c r="C18" s="198">
        <f>SUM(C13:C17)</f>
        <v>89578.4</v>
      </c>
      <c r="D18" s="198">
        <f>SUM(D13:D17)</f>
        <v>105509.2</v>
      </c>
      <c r="E18" s="198">
        <f>SUM(E13:E17)</f>
        <v>106094.4</v>
      </c>
      <c r="F18" s="199">
        <f t="shared" si="0"/>
        <v>385896</v>
      </c>
    </row>
    <row r="19" spans="1:6">
      <c r="A19" s="120"/>
      <c r="B19" s="120"/>
      <c r="C19" s="120"/>
      <c r="D19" s="120"/>
      <c r="E19" s="120"/>
      <c r="F19" s="120"/>
    </row>
  </sheetData>
  <mergeCells count="3">
    <mergeCell ref="A1:F1"/>
    <mergeCell ref="A10:F10"/>
    <mergeCell ref="A11:F11"/>
  </mergeCells>
  <pageMargins left="0.75" right="0.75" top="1" bottom="1" header="0.5" footer="0.5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H7" sqref="H7"/>
    </sheetView>
  </sheetViews>
  <sheetFormatPr defaultColWidth="8.8" defaultRowHeight="15.6"/>
  <cols>
    <col min="1" max="6" width="18.7" customWidth="1"/>
    <col min="7" max="7" width="11.5"/>
    <col min="10" max="10" width="13.75"/>
  </cols>
  <sheetData>
    <row r="1" ht="21" customHeight="1" spans="1:6">
      <c r="A1" s="125" t="s">
        <v>80</v>
      </c>
      <c r="B1" s="125"/>
      <c r="C1" s="125"/>
      <c r="D1" s="125"/>
      <c r="E1" s="125"/>
      <c r="F1" s="125"/>
    </row>
    <row r="2" ht="21" customHeight="1" spans="1:6">
      <c r="A2" s="183" t="s">
        <v>45</v>
      </c>
      <c r="B2" s="184" t="s">
        <v>52</v>
      </c>
      <c r="C2" s="184" t="s">
        <v>53</v>
      </c>
      <c r="D2" s="184" t="s">
        <v>54</v>
      </c>
      <c r="E2" s="184" t="s">
        <v>55</v>
      </c>
      <c r="F2" s="185" t="s">
        <v>56</v>
      </c>
    </row>
    <row r="3" ht="21" customHeight="1" spans="1:6">
      <c r="A3" s="76" t="s">
        <v>81</v>
      </c>
      <c r="B3" s="186">
        <f>生产预算分析表!B11</f>
        <v>3607.5</v>
      </c>
      <c r="C3" s="186">
        <f>生产预算分析表!C11</f>
        <v>4717.5</v>
      </c>
      <c r="D3" s="186">
        <f>生产预算分析表!D11</f>
        <v>5513</v>
      </c>
      <c r="E3" s="186">
        <f>生产预算分析表!E11</f>
        <v>5180</v>
      </c>
      <c r="F3" s="187">
        <f>SUM(B3:E3)</f>
        <v>19018</v>
      </c>
    </row>
    <row r="4" ht="21" customHeight="1" spans="1:6">
      <c r="A4" s="76" t="s">
        <v>82</v>
      </c>
      <c r="B4" s="186">
        <f>C3*0.2</f>
        <v>943.5</v>
      </c>
      <c r="C4" s="186">
        <f>D3*0.2</f>
        <v>1102.6</v>
      </c>
      <c r="D4" s="186">
        <f>E3*0.2</f>
        <v>1036</v>
      </c>
      <c r="E4" s="186">
        <v>1100</v>
      </c>
      <c r="F4" s="187">
        <f>E4</f>
        <v>1100</v>
      </c>
    </row>
    <row r="5" ht="21" customHeight="1" spans="1:6">
      <c r="A5" s="76" t="s">
        <v>72</v>
      </c>
      <c r="B5" s="186">
        <f>B3+B4</f>
        <v>4551</v>
      </c>
      <c r="C5" s="186">
        <f>C3+C4</f>
        <v>5820.1</v>
      </c>
      <c r="D5" s="186">
        <f>D3+D4</f>
        <v>6549</v>
      </c>
      <c r="E5" s="186">
        <f>E3+E4</f>
        <v>6280</v>
      </c>
      <c r="F5" s="187">
        <f>F3+F4</f>
        <v>20118</v>
      </c>
    </row>
    <row r="6" ht="21" customHeight="1" spans="1:6">
      <c r="A6" s="76" t="s">
        <v>83</v>
      </c>
      <c r="B6" s="186">
        <v>1000</v>
      </c>
      <c r="C6" s="186">
        <f>B4</f>
        <v>943.5</v>
      </c>
      <c r="D6" s="186">
        <f>C4</f>
        <v>1102.6</v>
      </c>
      <c r="E6" s="186">
        <f>D4</f>
        <v>1036</v>
      </c>
      <c r="F6" s="187">
        <f>B6</f>
        <v>1000</v>
      </c>
    </row>
    <row r="7" ht="21" customHeight="1" spans="1:6">
      <c r="A7" s="76" t="s">
        <v>84</v>
      </c>
      <c r="B7" s="186">
        <f>B5-B6</f>
        <v>3551</v>
      </c>
      <c r="C7" s="186">
        <f>C5-C6</f>
        <v>4876.6</v>
      </c>
      <c r="D7" s="186">
        <f>D5-D6</f>
        <v>5446.4</v>
      </c>
      <c r="E7" s="186">
        <f>E5-E6</f>
        <v>5244</v>
      </c>
      <c r="F7" s="187">
        <f>F5-F6</f>
        <v>19118</v>
      </c>
    </row>
    <row r="8" ht="21" customHeight="1" spans="1:6">
      <c r="A8" s="76" t="s">
        <v>85</v>
      </c>
      <c r="B8" s="150">
        <v>20</v>
      </c>
      <c r="C8" s="150">
        <v>20</v>
      </c>
      <c r="D8" s="150">
        <v>20</v>
      </c>
      <c r="E8" s="150">
        <v>20</v>
      </c>
      <c r="F8" s="20">
        <v>20</v>
      </c>
    </row>
    <row r="9" ht="21" customHeight="1" spans="1:7">
      <c r="A9" s="188" t="s">
        <v>86</v>
      </c>
      <c r="B9" s="153">
        <f>B7*B8</f>
        <v>71020</v>
      </c>
      <c r="C9" s="153">
        <f>C7*C8</f>
        <v>97532</v>
      </c>
      <c r="D9" s="153">
        <f>D7*D8</f>
        <v>108928</v>
      </c>
      <c r="E9" s="153">
        <f>E7*E8</f>
        <v>104880</v>
      </c>
      <c r="F9" s="154">
        <f>F7*F8</f>
        <v>382360</v>
      </c>
      <c r="G9" s="36"/>
    </row>
    <row r="10" ht="21" customHeight="1" spans="1:10">
      <c r="A10" s="125" t="s">
        <v>87</v>
      </c>
      <c r="B10" s="125"/>
      <c r="C10" s="125"/>
      <c r="D10" s="125"/>
      <c r="E10" s="125"/>
      <c r="F10" s="125"/>
      <c r="J10" s="192"/>
    </row>
    <row r="11" ht="21" customHeight="1" spans="1:6">
      <c r="A11" s="69" t="s">
        <v>95</v>
      </c>
      <c r="B11" s="125"/>
      <c r="C11" s="125"/>
      <c r="D11" s="125"/>
      <c r="E11" s="125"/>
      <c r="F11" s="125"/>
    </row>
    <row r="12" ht="21" customHeight="1" spans="1:6">
      <c r="A12" s="183" t="s">
        <v>45</v>
      </c>
      <c r="B12" s="184" t="s">
        <v>52</v>
      </c>
      <c r="C12" s="184" t="s">
        <v>53</v>
      </c>
      <c r="D12" s="184" t="s">
        <v>54</v>
      </c>
      <c r="E12" s="184" t="s">
        <v>55</v>
      </c>
      <c r="F12" s="185" t="s">
        <v>56</v>
      </c>
    </row>
    <row r="13" ht="21" customHeight="1" spans="1:6">
      <c r="A13" s="189" t="s">
        <v>89</v>
      </c>
      <c r="B13" s="190">
        <v>35000</v>
      </c>
      <c r="C13" s="190"/>
      <c r="D13" s="190"/>
      <c r="E13" s="190"/>
      <c r="F13" s="191">
        <f t="shared" ref="F13:F18" si="0">SUM(B13:E13)</f>
        <v>35000</v>
      </c>
    </row>
    <row r="14" ht="21" customHeight="1" spans="1:6">
      <c r="A14" s="16" t="s">
        <v>90</v>
      </c>
      <c r="B14" s="150">
        <f>B9*0.7</f>
        <v>49714</v>
      </c>
      <c r="C14" s="150">
        <f>B9-B14</f>
        <v>21306</v>
      </c>
      <c r="D14" s="150"/>
      <c r="E14" s="150"/>
      <c r="F14" s="191">
        <f t="shared" si="0"/>
        <v>71020</v>
      </c>
    </row>
    <row r="15" ht="21" customHeight="1" spans="1:6">
      <c r="A15" s="16" t="s">
        <v>91</v>
      </c>
      <c r="B15" s="150"/>
      <c r="C15" s="150">
        <f>C9*0.7</f>
        <v>68272.4</v>
      </c>
      <c r="D15" s="150">
        <f>C9-C15</f>
        <v>29259.6</v>
      </c>
      <c r="E15" s="150"/>
      <c r="F15" s="191">
        <f t="shared" si="0"/>
        <v>97532</v>
      </c>
    </row>
    <row r="16" ht="21" customHeight="1" spans="1:6">
      <c r="A16" s="16" t="s">
        <v>92</v>
      </c>
      <c r="B16" s="150"/>
      <c r="C16" s="150"/>
      <c r="D16" s="150">
        <f>D9*0.7</f>
        <v>76249.6</v>
      </c>
      <c r="E16" s="150">
        <f>D9-D16</f>
        <v>32678.4</v>
      </c>
      <c r="F16" s="191">
        <f t="shared" si="0"/>
        <v>108928</v>
      </c>
    </row>
    <row r="17" ht="21" customHeight="1" spans="1:6">
      <c r="A17" s="16" t="s">
        <v>93</v>
      </c>
      <c r="B17" s="150"/>
      <c r="C17" s="150"/>
      <c r="D17" s="150"/>
      <c r="E17" s="150">
        <f>E9*0.7</f>
        <v>73416</v>
      </c>
      <c r="F17" s="191">
        <f t="shared" si="0"/>
        <v>73416</v>
      </c>
    </row>
    <row r="18" ht="21" customHeight="1" spans="1:6">
      <c r="A18" s="171" t="s">
        <v>94</v>
      </c>
      <c r="B18" s="153">
        <f>SUM(B13:B17)</f>
        <v>84714</v>
      </c>
      <c r="C18" s="153">
        <f>SUM(C13:C17)</f>
        <v>89578.4</v>
      </c>
      <c r="D18" s="153">
        <f>SUM(D13:D17)</f>
        <v>105509.2</v>
      </c>
      <c r="E18" s="153">
        <f>SUM(E13:E17)</f>
        <v>106094.4</v>
      </c>
      <c r="F18" s="154">
        <f t="shared" si="0"/>
        <v>385896</v>
      </c>
    </row>
    <row r="19" ht="16.35" spans="1:6">
      <c r="A19" s="102"/>
      <c r="B19" s="102"/>
      <c r="C19" s="102"/>
      <c r="D19" s="102"/>
      <c r="E19" s="102"/>
      <c r="F19" s="102"/>
    </row>
    <row r="20" spans="1:6">
      <c r="A20" s="102"/>
      <c r="B20" s="102"/>
      <c r="C20" s="102"/>
      <c r="D20" s="102"/>
      <c r="E20" s="102"/>
      <c r="F20" s="102"/>
    </row>
  </sheetData>
  <mergeCells count="2">
    <mergeCell ref="A1:F1"/>
    <mergeCell ref="A10:F10"/>
  </mergeCells>
  <pageMargins left="0.75" right="0.75" top="1" bottom="1" header="0.5" footer="0.5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showFormulas="1" workbookViewId="0">
      <selection activeCell="G7" sqref="G7"/>
    </sheetView>
  </sheetViews>
  <sheetFormatPr defaultColWidth="8.8" defaultRowHeight="15.6" outlineLevelRow="6" outlineLevelCol="5"/>
  <cols>
    <col min="1" max="6" width="18.7" customWidth="1"/>
  </cols>
  <sheetData>
    <row r="1" ht="21" customHeight="1" spans="1:6">
      <c r="A1" s="125" t="s">
        <v>96</v>
      </c>
      <c r="B1" s="125"/>
      <c r="C1" s="125"/>
      <c r="D1" s="125"/>
      <c r="E1" s="125"/>
      <c r="F1" s="125"/>
    </row>
    <row r="2" ht="21" customHeight="1" spans="1:6">
      <c r="A2" s="72" t="s">
        <v>97</v>
      </c>
      <c r="B2" s="72"/>
      <c r="C2" s="72"/>
      <c r="D2" s="72"/>
      <c r="E2" s="72"/>
      <c r="F2" s="72"/>
    </row>
    <row r="3" ht="21" customHeight="1" spans="1:6">
      <c r="A3" s="103" t="s">
        <v>25</v>
      </c>
      <c r="B3" s="156" t="s">
        <v>3</v>
      </c>
      <c r="C3" s="156" t="s">
        <v>4</v>
      </c>
      <c r="D3" s="156" t="s">
        <v>5</v>
      </c>
      <c r="E3" s="156" t="s">
        <v>6</v>
      </c>
      <c r="F3" s="174" t="s">
        <v>56</v>
      </c>
    </row>
    <row r="4" ht="21" customHeight="1" spans="1:6">
      <c r="A4" s="175" t="s">
        <v>98</v>
      </c>
      <c r="B4" s="176">
        <f>生产预算分析表!B13</f>
        <v>8287.5</v>
      </c>
      <c r="C4" s="176">
        <f>生产预算分析表!C13</f>
        <v>10837.5</v>
      </c>
      <c r="D4" s="177">
        <f>生产预算分析表!D13</f>
        <v>12665</v>
      </c>
      <c r="E4" s="177">
        <f>生产预算分析表!E13</f>
        <v>11900</v>
      </c>
      <c r="F4" s="178">
        <f>SUM(B4:E4)</f>
        <v>43690</v>
      </c>
    </row>
    <row r="5" ht="21" customHeight="1" spans="1:6">
      <c r="A5" s="175" t="s">
        <v>99</v>
      </c>
      <c r="B5" s="179">
        <f>预计定额成本!$B$5</f>
        <v>4.65</v>
      </c>
      <c r="C5" s="179">
        <f>预计定额成本!$B$5</f>
        <v>4.65</v>
      </c>
      <c r="D5" s="179">
        <f>预计定额成本!$B$5</f>
        <v>4.65</v>
      </c>
      <c r="E5" s="179">
        <f>预计定额成本!$B$5</f>
        <v>4.65</v>
      </c>
      <c r="F5" s="178">
        <f>预计定额成本!$B$5</f>
        <v>4.65</v>
      </c>
    </row>
    <row r="6" ht="21" customHeight="1" spans="1:6">
      <c r="A6" s="180" t="s">
        <v>100</v>
      </c>
      <c r="B6" s="181">
        <f>B4*B5</f>
        <v>38536.875</v>
      </c>
      <c r="C6" s="181">
        <f>C4*C5</f>
        <v>50394.375</v>
      </c>
      <c r="D6" s="181">
        <f>D4*D5</f>
        <v>58892.25</v>
      </c>
      <c r="E6" s="181">
        <f>E4*E5</f>
        <v>55335</v>
      </c>
      <c r="F6" s="182">
        <f>F4*F5</f>
        <v>203158.5</v>
      </c>
    </row>
    <row r="7" ht="16.35"/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workbookViewId="0">
      <selection activeCell="H8" sqref="H8"/>
    </sheetView>
  </sheetViews>
  <sheetFormatPr defaultColWidth="8.8" defaultRowHeight="15.6" outlineLevelRow="6" outlineLevelCol="5"/>
  <cols>
    <col min="1" max="6" width="18.7" customWidth="1"/>
  </cols>
  <sheetData>
    <row r="1" ht="21" customHeight="1" spans="1:6">
      <c r="A1" s="125" t="s">
        <v>96</v>
      </c>
      <c r="B1" s="125"/>
      <c r="C1" s="125"/>
      <c r="D1" s="125"/>
      <c r="E1" s="125"/>
      <c r="F1" s="125"/>
    </row>
    <row r="2" ht="21" customHeight="1" spans="1:6">
      <c r="A2" s="72" t="s">
        <v>97</v>
      </c>
      <c r="B2" s="72"/>
      <c r="C2" s="72"/>
      <c r="D2" s="72"/>
      <c r="E2" s="72"/>
      <c r="F2" s="72"/>
    </row>
    <row r="3" ht="21" customHeight="1" spans="1:6">
      <c r="A3" s="74" t="s">
        <v>25</v>
      </c>
      <c r="B3" s="104" t="s">
        <v>3</v>
      </c>
      <c r="C3" s="104" t="s">
        <v>4</v>
      </c>
      <c r="D3" s="104" t="s">
        <v>5</v>
      </c>
      <c r="E3" s="104" t="s">
        <v>6</v>
      </c>
      <c r="F3" s="166" t="s">
        <v>56</v>
      </c>
    </row>
    <row r="4" ht="21" customHeight="1" spans="1:6">
      <c r="A4" s="16" t="s">
        <v>98</v>
      </c>
      <c r="B4" s="167">
        <f>生产预算分析表!B13</f>
        <v>8287.5</v>
      </c>
      <c r="C4" s="167">
        <f>生产预算分析表!C13</f>
        <v>10837.5</v>
      </c>
      <c r="D4" s="168">
        <f>生产预算分析表!D13</f>
        <v>12665</v>
      </c>
      <c r="E4" s="168">
        <f>生产预算分析表!E13</f>
        <v>11900</v>
      </c>
      <c r="F4" s="169">
        <f>SUM(B4:E4)</f>
        <v>43690</v>
      </c>
    </row>
    <row r="5" ht="21" customHeight="1" spans="1:6">
      <c r="A5" s="16" t="s">
        <v>99</v>
      </c>
      <c r="B5" s="170">
        <f>预计定额成本!$B$5</f>
        <v>4.65</v>
      </c>
      <c r="C5" s="170">
        <f>预计定额成本!$B$5</f>
        <v>4.65</v>
      </c>
      <c r="D5" s="170">
        <f>预计定额成本!$B$5</f>
        <v>4.65</v>
      </c>
      <c r="E5" s="170">
        <f>预计定额成本!$B$5</f>
        <v>4.65</v>
      </c>
      <c r="F5" s="169">
        <f>预计定额成本!$B$5</f>
        <v>4.65</v>
      </c>
    </row>
    <row r="6" ht="21" customHeight="1" spans="1:6">
      <c r="A6" s="171" t="s">
        <v>100</v>
      </c>
      <c r="B6" s="172">
        <f>B4*B5</f>
        <v>38536.875</v>
      </c>
      <c r="C6" s="172">
        <f>C4*C5</f>
        <v>50394.375</v>
      </c>
      <c r="D6" s="172">
        <f>D4*D5</f>
        <v>58892.25</v>
      </c>
      <c r="E6" s="172">
        <f>E4*E5</f>
        <v>55335</v>
      </c>
      <c r="F6" s="173">
        <f>F4*F5</f>
        <v>203158.5</v>
      </c>
    </row>
    <row r="7" ht="16.35"/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showFormulas="1" workbookViewId="0">
      <selection activeCell="H4" sqref="H4"/>
    </sheetView>
  </sheetViews>
  <sheetFormatPr defaultColWidth="8.8" defaultRowHeight="15.6" outlineLevelCol="7"/>
  <cols>
    <col min="1" max="1" width="18.7" customWidth="1"/>
    <col min="2" max="2" width="18.7" customWidth="1"/>
    <col min="3" max="3" width="18.7" customWidth="1"/>
    <col min="4" max="5" width="18.7" customWidth="1"/>
    <col min="6" max="7" width="18.7" customWidth="1"/>
  </cols>
  <sheetData>
    <row r="1" ht="21" customHeight="1" spans="1:7">
      <c r="A1" s="125" t="s">
        <v>101</v>
      </c>
      <c r="B1" s="125"/>
      <c r="C1" s="125"/>
      <c r="D1" s="125"/>
      <c r="E1" s="125"/>
      <c r="F1" s="125"/>
      <c r="G1" s="125"/>
    </row>
    <row r="2" ht="21" customHeight="1" spans="1:7">
      <c r="A2" s="72" t="s">
        <v>102</v>
      </c>
      <c r="B2" s="72"/>
      <c r="C2" s="72"/>
      <c r="D2" s="72"/>
      <c r="E2" s="72"/>
      <c r="F2" s="72"/>
      <c r="G2" s="72"/>
    </row>
    <row r="3" ht="21" customHeight="1" spans="1:8">
      <c r="A3" s="103" t="s">
        <v>25</v>
      </c>
      <c r="B3" s="156" t="s">
        <v>3</v>
      </c>
      <c r="C3" s="156" t="s">
        <v>4</v>
      </c>
      <c r="D3" s="156" t="s">
        <v>5</v>
      </c>
      <c r="E3" s="156" t="s">
        <v>6</v>
      </c>
      <c r="F3" s="157" t="s">
        <v>56</v>
      </c>
      <c r="G3" s="158" t="s">
        <v>103</v>
      </c>
      <c r="H3" s="136"/>
    </row>
    <row r="4" ht="21" customHeight="1" spans="1:7">
      <c r="A4" s="159" t="s">
        <v>26</v>
      </c>
      <c r="B4" s="160">
        <f>'预计制造费用明细表 '!B4</f>
        <v>1200</v>
      </c>
      <c r="C4" s="160">
        <f>'预计制造费用明细表 '!C4</f>
        <v>2500</v>
      </c>
      <c r="D4" s="160">
        <f>'预计制造费用明细表 '!D4</f>
        <v>2800</v>
      </c>
      <c r="E4" s="160">
        <f>'预计制造费用明细表 '!E4</f>
        <v>2920</v>
      </c>
      <c r="F4" s="160">
        <f>SUM(B4:E4)</f>
        <v>9420</v>
      </c>
      <c r="G4" s="161">
        <f>F4/直接人工预算分析表!F4</f>
        <v>0.21560997940032</v>
      </c>
    </row>
    <row r="5" ht="21" customHeight="1" spans="1:7">
      <c r="A5" s="159" t="s">
        <v>27</v>
      </c>
      <c r="B5" s="160">
        <f>'预计制造费用明细表 '!B5</f>
        <v>1250</v>
      </c>
      <c r="C5" s="160">
        <f>'预计制造费用明细表 '!C5</f>
        <v>2450</v>
      </c>
      <c r="D5" s="160">
        <f>'预计制造费用明细表 '!D5</f>
        <v>2680</v>
      </c>
      <c r="E5" s="160">
        <f>'预计制造费用明细表 '!E5</f>
        <v>3000</v>
      </c>
      <c r="F5" s="160">
        <f>SUM(B5:E5)</f>
        <v>9380</v>
      </c>
      <c r="G5" s="161">
        <f>F5/直接人工预算分析表!F4</f>
        <v>0.214694438086519</v>
      </c>
    </row>
    <row r="6" ht="21" customHeight="1" spans="1:7">
      <c r="A6" s="159" t="s">
        <v>28</v>
      </c>
      <c r="B6" s="160">
        <f>'预计制造费用明细表 '!B6</f>
        <v>800</v>
      </c>
      <c r="C6" s="160">
        <f>'预计制造费用明细表 '!C6</f>
        <v>500</v>
      </c>
      <c r="D6" s="160">
        <f>'预计制造费用明细表 '!D6</f>
        <v>750</v>
      </c>
      <c r="E6" s="160">
        <f>'预计制造费用明细表 '!E6</f>
        <v>860</v>
      </c>
      <c r="F6" s="160">
        <f>SUM(B6:E6)</f>
        <v>2910</v>
      </c>
      <c r="G6" s="161">
        <f>F6/直接人工预算分析表!F4</f>
        <v>0.0666056305790799</v>
      </c>
    </row>
    <row r="7" ht="21" customHeight="1" spans="1:7">
      <c r="A7" s="159" t="s">
        <v>29</v>
      </c>
      <c r="B7" s="160">
        <f>'预计制造费用明细表 '!B8</f>
        <v>3250</v>
      </c>
      <c r="C7" s="160">
        <f>'预计制造费用明细表 '!C8</f>
        <v>5450</v>
      </c>
      <c r="D7" s="160">
        <f>'预计制造费用明细表 '!D8</f>
        <v>6230</v>
      </c>
      <c r="E7" s="160">
        <f>'预计制造费用明细表 '!E8</f>
        <v>6780</v>
      </c>
      <c r="F7" s="160">
        <f>SUM(B7:E7)</f>
        <v>21710</v>
      </c>
      <c r="G7" s="161">
        <f>F7/直接人工预算分析表!F4</f>
        <v>0.496910048065919</v>
      </c>
    </row>
    <row r="8" ht="21" customHeight="1" spans="1:7">
      <c r="A8" s="162" t="s">
        <v>104</v>
      </c>
      <c r="B8" s="160">
        <f>B6</f>
        <v>800</v>
      </c>
      <c r="C8" s="160">
        <f>C6</f>
        <v>500</v>
      </c>
      <c r="D8" s="160">
        <f>D6</f>
        <v>750</v>
      </c>
      <c r="E8" s="160">
        <f>E6</f>
        <v>860</v>
      </c>
      <c r="F8" s="160">
        <f>SUM(B8:E8)</f>
        <v>2910</v>
      </c>
      <c r="G8" s="161">
        <f>F8/直接人工预算分析表!F4</f>
        <v>0.0666056305790799</v>
      </c>
    </row>
    <row r="9" ht="21" customHeight="1" spans="1:7">
      <c r="A9" s="163" t="s">
        <v>105</v>
      </c>
      <c r="B9" s="164">
        <f>B7-B8</f>
        <v>2450</v>
      </c>
      <c r="C9" s="164">
        <f>C7-C8</f>
        <v>4950</v>
      </c>
      <c r="D9" s="164">
        <f>D7-D8</f>
        <v>5480</v>
      </c>
      <c r="E9" s="164">
        <f>E7-E8</f>
        <v>5920</v>
      </c>
      <c r="F9" s="164">
        <f>F7-F8</f>
        <v>18800</v>
      </c>
      <c r="G9" s="165">
        <f>F9/直接人工预算分析表!F4</f>
        <v>0.430304417486839</v>
      </c>
    </row>
    <row r="10" ht="16.35"/>
  </sheetData>
  <mergeCells count="2">
    <mergeCell ref="A1:G1"/>
    <mergeCell ref="A2:G2"/>
  </mergeCells>
  <pageMargins left="0.75" right="0.75" top="1" bottom="1" header="0.5" footer="0.5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A1" sqref="A1:G9"/>
    </sheetView>
  </sheetViews>
  <sheetFormatPr defaultColWidth="8.8" defaultRowHeight="15.6" outlineLevelCol="6"/>
  <cols>
    <col min="1" max="7" width="18.7" customWidth="1"/>
  </cols>
  <sheetData>
    <row r="1" ht="21" customHeight="1" spans="1:7">
      <c r="A1" s="125" t="s">
        <v>101</v>
      </c>
      <c r="B1" s="125"/>
      <c r="C1" s="125"/>
      <c r="D1" s="125"/>
      <c r="E1" s="125"/>
      <c r="F1" s="125"/>
      <c r="G1" s="125"/>
    </row>
    <row r="2" ht="21" customHeight="1" spans="1:7">
      <c r="A2" s="72" t="s">
        <v>102</v>
      </c>
      <c r="B2" s="72"/>
      <c r="C2" s="72"/>
      <c r="D2" s="72"/>
      <c r="E2" s="72"/>
      <c r="F2" s="72"/>
      <c r="G2" s="72"/>
    </row>
    <row r="3" ht="21" customHeight="1" spans="1:7">
      <c r="A3" s="74" t="s">
        <v>25</v>
      </c>
      <c r="B3" s="104" t="s">
        <v>3</v>
      </c>
      <c r="C3" s="104" t="s">
        <v>4</v>
      </c>
      <c r="D3" s="104" t="s">
        <v>5</v>
      </c>
      <c r="E3" s="104" t="s">
        <v>6</v>
      </c>
      <c r="F3" s="148" t="s">
        <v>56</v>
      </c>
      <c r="G3" s="149" t="s">
        <v>103</v>
      </c>
    </row>
    <row r="4" ht="21" customHeight="1" spans="1:7">
      <c r="A4" s="16" t="s">
        <v>26</v>
      </c>
      <c r="B4" s="150">
        <f>'预计制造费用明细表 '!B4</f>
        <v>1200</v>
      </c>
      <c r="C4" s="150">
        <f>'预计制造费用明细表 '!C4</f>
        <v>2500</v>
      </c>
      <c r="D4" s="150">
        <f>'预计制造费用明细表 '!D4</f>
        <v>2800</v>
      </c>
      <c r="E4" s="150">
        <f>'预计制造费用明细表 '!E4</f>
        <v>2920</v>
      </c>
      <c r="F4" s="150">
        <f>SUM(B4:E4)</f>
        <v>9420</v>
      </c>
      <c r="G4" s="20">
        <f>F4/直接人工预算分析表!F4</f>
        <v>0.21560997940032</v>
      </c>
    </row>
    <row r="5" ht="21" customHeight="1" spans="1:7">
      <c r="A5" s="16" t="s">
        <v>27</v>
      </c>
      <c r="B5" s="150">
        <f>'预计制造费用明细表 '!B5</f>
        <v>1250</v>
      </c>
      <c r="C5" s="150">
        <f>'预计制造费用明细表 '!C5</f>
        <v>2450</v>
      </c>
      <c r="D5" s="150">
        <f>'预计制造费用明细表 '!D5</f>
        <v>2680</v>
      </c>
      <c r="E5" s="150">
        <f>'预计制造费用明细表 '!E5</f>
        <v>3000</v>
      </c>
      <c r="F5" s="150">
        <f>SUM(B5:E5)</f>
        <v>9380</v>
      </c>
      <c r="G5" s="20">
        <f>F5/直接人工预算分析表!F4</f>
        <v>0.214694438086519</v>
      </c>
    </row>
    <row r="6" ht="21" customHeight="1" spans="1:7">
      <c r="A6" s="16" t="s">
        <v>28</v>
      </c>
      <c r="B6" s="150">
        <f>'预计制造费用明细表 '!B6</f>
        <v>800</v>
      </c>
      <c r="C6" s="150">
        <f>'预计制造费用明细表 '!C6</f>
        <v>500</v>
      </c>
      <c r="D6" s="150">
        <f>'预计制造费用明细表 '!D6</f>
        <v>750</v>
      </c>
      <c r="E6" s="150">
        <f>'预计制造费用明细表 '!E6</f>
        <v>860</v>
      </c>
      <c r="F6" s="150">
        <f>SUM(B6:E6)</f>
        <v>2910</v>
      </c>
      <c r="G6" s="20">
        <f>F6/直接人工预算分析表!F4</f>
        <v>0.0666056305790799</v>
      </c>
    </row>
    <row r="7" ht="21" customHeight="1" spans="1:7">
      <c r="A7" s="16" t="s">
        <v>29</v>
      </c>
      <c r="B7" s="150">
        <f>'预计制造费用明细表 '!B8</f>
        <v>3250</v>
      </c>
      <c r="C7" s="150">
        <f>'预计制造费用明细表 '!C8</f>
        <v>5450</v>
      </c>
      <c r="D7" s="150">
        <f>'预计制造费用明细表 '!D8</f>
        <v>6230</v>
      </c>
      <c r="E7" s="150">
        <f>'预计制造费用明细表 '!E8</f>
        <v>6780</v>
      </c>
      <c r="F7" s="150">
        <f>SUM(B7:E7)</f>
        <v>21710</v>
      </c>
      <c r="G7" s="20">
        <f>F7/直接人工预算分析表!F4</f>
        <v>0.496910048065919</v>
      </c>
    </row>
    <row r="8" ht="21" customHeight="1" spans="1:7">
      <c r="A8" s="151" t="s">
        <v>104</v>
      </c>
      <c r="B8" s="150">
        <f>B6</f>
        <v>800</v>
      </c>
      <c r="C8" s="150">
        <f>C6</f>
        <v>500</v>
      </c>
      <c r="D8" s="150">
        <f>D6</f>
        <v>750</v>
      </c>
      <c r="E8" s="150">
        <f>E6</f>
        <v>860</v>
      </c>
      <c r="F8" s="150">
        <f>SUM(B8:E8)</f>
        <v>2910</v>
      </c>
      <c r="G8" s="20">
        <f>F8/直接人工预算分析表!F4</f>
        <v>0.0666056305790799</v>
      </c>
    </row>
    <row r="9" ht="21" customHeight="1" spans="1:7">
      <c r="A9" s="152" t="s">
        <v>105</v>
      </c>
      <c r="B9" s="153">
        <f>B7-B8</f>
        <v>2450</v>
      </c>
      <c r="C9" s="153">
        <f>C7-C8</f>
        <v>4950</v>
      </c>
      <c r="D9" s="153">
        <f>D7-D8</f>
        <v>5480</v>
      </c>
      <c r="E9" s="153">
        <f>E7-E8</f>
        <v>5920</v>
      </c>
      <c r="F9" s="153">
        <f>F7-F8</f>
        <v>18800</v>
      </c>
      <c r="G9" s="154">
        <f>F9/直接人工预算分析表!F4</f>
        <v>0.430304417486839</v>
      </c>
    </row>
    <row r="10" spans="1:1">
      <c r="A10" s="155"/>
    </row>
    <row r="11" spans="5:5">
      <c r="E11" s="36"/>
    </row>
  </sheetData>
  <mergeCells count="2">
    <mergeCell ref="A1:G1"/>
    <mergeCell ref="A2:G2"/>
  </mergeCells>
  <pageMargins left="0.75" right="0.75" top="1" bottom="1" header="0.5" footer="0.5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L8" sqref="L8"/>
    </sheetView>
  </sheetViews>
  <sheetFormatPr defaultColWidth="8.8" defaultRowHeight="15.6" outlineLevelCol="1"/>
  <cols>
    <col min="1" max="1" width="19.75" customWidth="1"/>
    <col min="2" max="2" width="21.625" customWidth="1"/>
  </cols>
  <sheetData>
    <row r="1" ht="25.9" customHeight="1" spans="1:2">
      <c r="A1" s="125" t="s">
        <v>106</v>
      </c>
      <c r="B1" s="125"/>
    </row>
    <row r="2" ht="16.35" spans="1:2">
      <c r="A2" s="126" t="s">
        <v>107</v>
      </c>
      <c r="B2" s="126"/>
    </row>
    <row r="3" ht="18" customHeight="1" spans="1:2">
      <c r="A3" s="127" t="s">
        <v>25</v>
      </c>
      <c r="B3" s="129" t="s">
        <v>108</v>
      </c>
    </row>
    <row r="4" ht="18" customHeight="1" spans="1:2">
      <c r="A4" s="132" t="s">
        <v>109</v>
      </c>
      <c r="B4" s="112">
        <f>预计财务费用明细表!B4</f>
        <v>3020</v>
      </c>
    </row>
    <row r="5" ht="18" customHeight="1" spans="1:2">
      <c r="A5" s="132" t="s">
        <v>110</v>
      </c>
      <c r="B5" s="112">
        <f>-预计财务费用明细表!B3</f>
        <v>-2950</v>
      </c>
    </row>
    <row r="6" ht="18" customHeight="1" spans="1:2">
      <c r="A6" s="132" t="s">
        <v>111</v>
      </c>
      <c r="B6" s="112">
        <f>预计财务费用明细表!B6</f>
        <v>3500</v>
      </c>
    </row>
    <row r="7" ht="18" customHeight="1" spans="1:2">
      <c r="A7" s="132" t="s">
        <v>112</v>
      </c>
      <c r="B7" s="112">
        <f>-预计财务费用明细表!B5</f>
        <v>-4500</v>
      </c>
    </row>
    <row r="8" ht="18" customHeight="1" spans="1:2">
      <c r="A8" s="132" t="s">
        <v>113</v>
      </c>
      <c r="B8" s="112">
        <f>预计财务费用明细表!B7</f>
        <v>8000</v>
      </c>
    </row>
    <row r="9" ht="18" customHeight="1" spans="1:2">
      <c r="A9" s="132" t="s">
        <v>22</v>
      </c>
      <c r="B9" s="112">
        <f>预计财务费用明细表!B8</f>
        <v>15250</v>
      </c>
    </row>
    <row r="10" ht="18" customHeight="1" spans="1:2">
      <c r="A10" s="132" t="s">
        <v>114</v>
      </c>
      <c r="B10" s="112">
        <f>SUM(B4:B9)</f>
        <v>22320</v>
      </c>
    </row>
    <row r="11" ht="16.35" spans="1:2">
      <c r="A11" s="147" t="s">
        <v>115</v>
      </c>
      <c r="B11" s="116">
        <f>B10/4</f>
        <v>5580</v>
      </c>
    </row>
    <row r="12" ht="16.3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Formulas="1" workbookViewId="0">
      <selection activeCell="D19" sqref="D19"/>
    </sheetView>
  </sheetViews>
  <sheetFormatPr defaultColWidth="8.8" defaultRowHeight="15.6" outlineLevelCol="1"/>
  <cols>
    <col min="1" max="1" width="11.25" customWidth="1"/>
    <col min="2" max="2" width="12.5" customWidth="1"/>
  </cols>
  <sheetData>
    <row r="1" ht="18.6" spans="1:2">
      <c r="A1" s="125" t="s">
        <v>106</v>
      </c>
      <c r="B1" s="125"/>
    </row>
    <row r="2" ht="16.35" spans="1:2">
      <c r="A2" s="126" t="s">
        <v>107</v>
      </c>
      <c r="B2" s="126"/>
    </row>
    <row r="3" ht="16.35" spans="1:2">
      <c r="A3" s="127" t="s">
        <v>25</v>
      </c>
      <c r="B3" s="129" t="s">
        <v>108</v>
      </c>
    </row>
    <row r="4" spans="1:2">
      <c r="A4" s="132" t="s">
        <v>109</v>
      </c>
      <c r="B4" s="112">
        <f>预计财务费用明细表!B4</f>
        <v>3020</v>
      </c>
    </row>
    <row r="5" spans="1:2">
      <c r="A5" s="132" t="s">
        <v>110</v>
      </c>
      <c r="B5" s="112">
        <f>-预计财务费用明细表!B3</f>
        <v>-2950</v>
      </c>
    </row>
    <row r="6" spans="1:2">
      <c r="A6" s="132" t="s">
        <v>111</v>
      </c>
      <c r="B6" s="112">
        <f>预计财务费用明细表!B6</f>
        <v>3500</v>
      </c>
    </row>
    <row r="7" spans="1:2">
      <c r="A7" s="132" t="s">
        <v>112</v>
      </c>
      <c r="B7" s="112">
        <f>-预计财务费用明细表!B5</f>
        <v>-4500</v>
      </c>
    </row>
    <row r="8" spans="1:2">
      <c r="A8" s="132" t="s">
        <v>113</v>
      </c>
      <c r="B8" s="112">
        <f>预计财务费用明细表!B7</f>
        <v>8000</v>
      </c>
    </row>
    <row r="9" spans="1:2">
      <c r="A9" s="132" t="s">
        <v>22</v>
      </c>
      <c r="B9" s="112">
        <f>预计财务费用明细表!B8</f>
        <v>15250</v>
      </c>
    </row>
    <row r="10" spans="1:2">
      <c r="A10" s="132" t="s">
        <v>114</v>
      </c>
      <c r="B10" s="112">
        <f>SUM(B4:B9)</f>
        <v>22320</v>
      </c>
    </row>
    <row r="11" ht="16.35" spans="1:2">
      <c r="A11" s="147" t="s">
        <v>115</v>
      </c>
      <c r="B11" s="116">
        <f>B10/4</f>
        <v>5580</v>
      </c>
    </row>
    <row r="12" ht="16.3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D7" sqref="D7"/>
    </sheetView>
  </sheetViews>
  <sheetFormatPr defaultColWidth="8.8" defaultRowHeight="15.6" outlineLevelCol="1"/>
  <cols>
    <col min="1" max="1" width="21.125" customWidth="1"/>
    <col min="2" max="2" width="21.25" customWidth="1"/>
  </cols>
  <sheetData>
    <row r="1" ht="25.15" customHeight="1" spans="1:2">
      <c r="A1" s="125" t="s">
        <v>116</v>
      </c>
      <c r="B1" s="125"/>
    </row>
    <row r="2" ht="16.35" spans="1:2">
      <c r="A2" s="139" t="s">
        <v>117</v>
      </c>
      <c r="B2" s="140" t="s">
        <v>118</v>
      </c>
    </row>
    <row r="3" spans="1:2">
      <c r="A3" s="141" t="s">
        <v>119</v>
      </c>
      <c r="B3" s="142">
        <v>2950</v>
      </c>
    </row>
    <row r="4" spans="1:2">
      <c r="A4" s="143" t="s">
        <v>109</v>
      </c>
      <c r="B4" s="144">
        <v>3020</v>
      </c>
    </row>
    <row r="5" spans="1:2">
      <c r="A5" s="143" t="s">
        <v>120</v>
      </c>
      <c r="B5" s="144">
        <v>4500</v>
      </c>
    </row>
    <row r="6" spans="1:2">
      <c r="A6" s="143" t="s">
        <v>111</v>
      </c>
      <c r="B6" s="144">
        <v>3500</v>
      </c>
    </row>
    <row r="7" spans="1:2">
      <c r="A7" s="143" t="s">
        <v>113</v>
      </c>
      <c r="B7" s="144">
        <v>8000</v>
      </c>
    </row>
    <row r="8" spans="1:2">
      <c r="A8" s="143" t="s">
        <v>37</v>
      </c>
      <c r="B8" s="144">
        <v>15250</v>
      </c>
    </row>
    <row r="9" spans="1:2">
      <c r="A9" s="143"/>
      <c r="B9" s="144"/>
    </row>
    <row r="10" ht="16.35" spans="1:2">
      <c r="A10" s="145" t="s">
        <v>121</v>
      </c>
      <c r="B10" s="146">
        <f>SUM(B3:B9)</f>
        <v>37220</v>
      </c>
    </row>
    <row r="11" spans="2:2">
      <c r="B11" s="36"/>
    </row>
  </sheetData>
  <mergeCells count="1">
    <mergeCell ref="A1:B1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A1" sqref="A1:B8"/>
    </sheetView>
  </sheetViews>
  <sheetFormatPr defaultColWidth="8.8" defaultRowHeight="15.6" outlineLevelCol="1"/>
  <cols>
    <col min="1" max="1" width="25.75" customWidth="1"/>
    <col min="2" max="2" width="21.75" customWidth="1"/>
  </cols>
  <sheetData>
    <row r="1" ht="22.9" customHeight="1" spans="1:2">
      <c r="A1" s="125" t="s">
        <v>122</v>
      </c>
      <c r="B1" s="125"/>
    </row>
    <row r="2" ht="16.35" spans="1:2">
      <c r="A2" s="126" t="s">
        <v>107</v>
      </c>
      <c r="B2" s="126"/>
    </row>
    <row r="3" ht="19.15" customHeight="1" spans="1:2">
      <c r="A3" s="127" t="s">
        <v>25</v>
      </c>
      <c r="B3" s="129" t="s">
        <v>108</v>
      </c>
    </row>
    <row r="4" ht="18.6" customHeight="1" spans="1:2">
      <c r="A4" s="134" t="s">
        <v>123</v>
      </c>
      <c r="B4" s="112">
        <f>预计管理费用明细表!B15</f>
        <v>34500</v>
      </c>
    </row>
    <row r="5" ht="18" customHeight="1" spans="1:2">
      <c r="A5" s="134" t="s">
        <v>124</v>
      </c>
      <c r="B5" s="112">
        <f>预计管理费用明细表!B5</f>
        <v>2500</v>
      </c>
    </row>
    <row r="6" ht="18" customHeight="1" spans="1:2">
      <c r="A6" s="134" t="s">
        <v>125</v>
      </c>
      <c r="B6" s="112">
        <f>预计管理费用明细表!B12</f>
        <v>1820</v>
      </c>
    </row>
    <row r="7" ht="18" customHeight="1" spans="1:2">
      <c r="A7" s="134" t="s">
        <v>126</v>
      </c>
      <c r="B7" s="112">
        <f>B4-B5-B6</f>
        <v>30180</v>
      </c>
    </row>
    <row r="8" ht="18" customHeight="1" spans="1:2">
      <c r="A8" s="135" t="s">
        <v>127</v>
      </c>
      <c r="B8" s="116">
        <f>B7/4</f>
        <v>7545</v>
      </c>
    </row>
    <row r="9" ht="16.35" spans="1:2">
      <c r="A9" s="136"/>
      <c r="B9" s="137"/>
    </row>
    <row r="10" spans="2:2">
      <c r="B10" s="137"/>
    </row>
    <row r="11" spans="2:2">
      <c r="B11" s="137"/>
    </row>
    <row r="12" spans="2:2">
      <c r="B12" s="138"/>
    </row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7"/>
  <sheetViews>
    <sheetView workbookViewId="0">
      <selection activeCell="A1" sqref="A1:B15"/>
    </sheetView>
  </sheetViews>
  <sheetFormatPr defaultColWidth="8.8" defaultRowHeight="15.6" outlineLevelCol="1"/>
  <cols>
    <col min="1" max="1" width="20.375" customWidth="1"/>
    <col min="2" max="2" width="24" customWidth="1"/>
  </cols>
  <sheetData>
    <row r="1" ht="21" customHeight="1" spans="1:2">
      <c r="A1" s="125" t="s">
        <v>9</v>
      </c>
      <c r="B1" s="125"/>
    </row>
    <row r="2" ht="21" customHeight="1" spans="1:2">
      <c r="A2" s="243" t="s">
        <v>10</v>
      </c>
      <c r="B2" s="244" t="s">
        <v>11</v>
      </c>
    </row>
    <row r="3" ht="21" customHeight="1" spans="1:2">
      <c r="A3" s="236" t="s">
        <v>12</v>
      </c>
      <c r="B3" s="237">
        <v>50000</v>
      </c>
    </row>
    <row r="4" ht="21" customHeight="1" spans="1:2">
      <c r="A4" s="231" t="s">
        <v>13</v>
      </c>
      <c r="B4" s="238">
        <v>7000</v>
      </c>
    </row>
    <row r="5" ht="21" customHeight="1" spans="1:2">
      <c r="A5" s="231" t="s">
        <v>14</v>
      </c>
      <c r="B5" s="238">
        <v>20000</v>
      </c>
    </row>
    <row r="6" ht="21" customHeight="1" spans="1:2">
      <c r="A6" s="231" t="s">
        <v>15</v>
      </c>
      <c r="B6" s="238">
        <v>8000</v>
      </c>
    </row>
    <row r="7" ht="21" customHeight="1" spans="1:2">
      <c r="A7" s="231" t="s">
        <v>16</v>
      </c>
      <c r="B7" s="238">
        <v>12000</v>
      </c>
    </row>
    <row r="8" ht="21" customHeight="1" spans="1:2">
      <c r="A8" s="231" t="s">
        <v>17</v>
      </c>
      <c r="B8" s="238">
        <v>15000</v>
      </c>
    </row>
    <row r="9" ht="21" customHeight="1" spans="1:2">
      <c r="A9" s="231" t="s">
        <v>18</v>
      </c>
      <c r="B9" s="238">
        <v>25000</v>
      </c>
    </row>
    <row r="10" ht="21" customHeight="1" spans="1:2">
      <c r="A10" s="231" t="s">
        <v>19</v>
      </c>
      <c r="B10" s="238">
        <v>14500</v>
      </c>
    </row>
    <row r="11" ht="21" customHeight="1" spans="1:2">
      <c r="A11" s="231" t="s">
        <v>20</v>
      </c>
      <c r="B11" s="238">
        <v>10000</v>
      </c>
    </row>
    <row r="12" ht="21" customHeight="1" spans="1:2">
      <c r="A12" s="231" t="s">
        <v>21</v>
      </c>
      <c r="B12" s="238">
        <v>5000</v>
      </c>
    </row>
    <row r="13" ht="21" customHeight="1" spans="1:2">
      <c r="A13" s="231" t="s">
        <v>22</v>
      </c>
      <c r="B13" s="238">
        <v>8500</v>
      </c>
    </row>
    <row r="14" ht="21" customHeight="1" spans="1:2">
      <c r="A14" s="231"/>
      <c r="B14" s="232"/>
    </row>
    <row r="15" ht="21" customHeight="1" spans="1:2">
      <c r="A15" s="233" t="s">
        <v>23</v>
      </c>
      <c r="B15" s="239">
        <f>SUM(B3:B14)</f>
        <v>175000</v>
      </c>
    </row>
    <row r="16" spans="1:2">
      <c r="A16" s="102"/>
      <c r="B16" s="102"/>
    </row>
    <row r="17" spans="1:2">
      <c r="A17" s="102"/>
      <c r="B17" s="102"/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showFormulas="1" workbookViewId="0">
      <selection activeCell="D12" sqref="D12"/>
    </sheetView>
  </sheetViews>
  <sheetFormatPr defaultColWidth="8.8" defaultRowHeight="15.6" outlineLevelCol="1"/>
  <cols>
    <col min="1" max="1" width="11.25" customWidth="1"/>
    <col min="2" max="2" width="12.25" customWidth="1"/>
  </cols>
  <sheetData>
    <row r="1" ht="18.6" spans="1:2">
      <c r="A1" s="125" t="s">
        <v>122</v>
      </c>
      <c r="B1" s="125"/>
    </row>
    <row r="2" ht="16.35" spans="1:2">
      <c r="A2" s="126" t="s">
        <v>107</v>
      </c>
      <c r="B2" s="126"/>
    </row>
    <row r="3" ht="16.35" spans="1:2">
      <c r="A3" s="127" t="s">
        <v>25</v>
      </c>
      <c r="B3" s="129" t="s">
        <v>108</v>
      </c>
    </row>
    <row r="4" spans="1:2">
      <c r="A4" s="134" t="s">
        <v>123</v>
      </c>
      <c r="B4" s="112">
        <f>预计管理费用明细表!B15</f>
        <v>34500</v>
      </c>
    </row>
    <row r="5" spans="1:2">
      <c r="A5" s="134" t="s">
        <v>124</v>
      </c>
      <c r="B5" s="112">
        <f>预计管理费用明细表!B5</f>
        <v>2500</v>
      </c>
    </row>
    <row r="6" spans="1:2">
      <c r="A6" s="134" t="s">
        <v>125</v>
      </c>
      <c r="B6" s="112">
        <f>预计管理费用明细表!B12</f>
        <v>1820</v>
      </c>
    </row>
    <row r="7" spans="1:2">
      <c r="A7" s="134" t="s">
        <v>126</v>
      </c>
      <c r="B7" s="112">
        <f>B4-B5-B6</f>
        <v>30180</v>
      </c>
    </row>
    <row r="8" ht="16.35" spans="1:2">
      <c r="A8" s="135" t="s">
        <v>127</v>
      </c>
      <c r="B8" s="116">
        <f>B7/4</f>
        <v>7545</v>
      </c>
    </row>
    <row r="9" ht="16.35"/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workbookViewId="0">
      <selection activeCell="H8" sqref="H8"/>
    </sheetView>
  </sheetViews>
  <sheetFormatPr defaultColWidth="8.8" defaultRowHeight="15.6" outlineLevelCol="7"/>
  <cols>
    <col min="1" max="1" width="18.125"/>
    <col min="2" max="3" width="10.25" customWidth="1"/>
    <col min="4" max="5" width="10.5" customWidth="1"/>
    <col min="6" max="6" width="10.375"/>
  </cols>
  <sheetData>
    <row r="1" ht="27" customHeight="1" spans="1:6">
      <c r="A1" s="125" t="s">
        <v>128</v>
      </c>
      <c r="B1" s="125"/>
      <c r="C1" s="125"/>
      <c r="D1" s="125"/>
      <c r="E1" s="125"/>
      <c r="F1" s="125"/>
    </row>
    <row r="2" ht="16.35" spans="1:6">
      <c r="A2" s="126" t="s">
        <v>129</v>
      </c>
      <c r="B2" s="126"/>
      <c r="C2" s="126"/>
      <c r="D2" s="126"/>
      <c r="E2" s="126"/>
      <c r="F2" s="126"/>
    </row>
    <row r="3" ht="16.35" spans="1:6">
      <c r="A3" s="127" t="s">
        <v>25</v>
      </c>
      <c r="B3" s="128" t="s">
        <v>3</v>
      </c>
      <c r="C3" s="128" t="s">
        <v>4</v>
      </c>
      <c r="D3" s="128" t="s">
        <v>5</v>
      </c>
      <c r="E3" s="128" t="s">
        <v>6</v>
      </c>
      <c r="F3" s="129" t="s">
        <v>56</v>
      </c>
    </row>
    <row r="4" spans="1:6">
      <c r="A4" s="132" t="s">
        <v>130</v>
      </c>
      <c r="B4" s="111">
        <v>12000</v>
      </c>
      <c r="C4" s="111">
        <v>14000</v>
      </c>
      <c r="D4" s="111">
        <v>15400</v>
      </c>
      <c r="E4" s="111">
        <v>16000</v>
      </c>
      <c r="F4" s="112">
        <f>SUM(B4:E4)</f>
        <v>57400</v>
      </c>
    </row>
    <row r="5" spans="1:6">
      <c r="A5" s="132" t="s">
        <v>13</v>
      </c>
      <c r="B5" s="111">
        <f>B4*0.14</f>
        <v>1680</v>
      </c>
      <c r="C5" s="111">
        <f>C4*0.14</f>
        <v>1960</v>
      </c>
      <c r="D5" s="111">
        <f>D4*0.14</f>
        <v>2156</v>
      </c>
      <c r="E5" s="111">
        <f>E4*0.14</f>
        <v>2240</v>
      </c>
      <c r="F5" s="112">
        <f>F4*0.14</f>
        <v>8036</v>
      </c>
    </row>
    <row r="6" spans="1:6">
      <c r="A6" s="132" t="s">
        <v>131</v>
      </c>
      <c r="B6" s="111">
        <f>0.02*销售预算分析!B6</f>
        <v>4200</v>
      </c>
      <c r="C6" s="111">
        <f>0.02*销售预算分析!C6</f>
        <v>5250</v>
      </c>
      <c r="D6" s="111">
        <f>0.02*销售预算分析!D6</f>
        <v>6300</v>
      </c>
      <c r="E6" s="111">
        <f>0.02*销售预算分析!E6</f>
        <v>5880</v>
      </c>
      <c r="F6" s="112">
        <f>SUM(B6:E6)</f>
        <v>21630</v>
      </c>
    </row>
    <row r="7" spans="1:6">
      <c r="A7" s="132" t="s">
        <v>132</v>
      </c>
      <c r="B7" s="111">
        <f>0.015*销售预算分析!B6</f>
        <v>3150</v>
      </c>
      <c r="C7" s="111">
        <f>0.015*销售预算分析!C6</f>
        <v>3937.5</v>
      </c>
      <c r="D7" s="111">
        <f>0.015*销售预算分析!D6</f>
        <v>4725</v>
      </c>
      <c r="E7" s="111">
        <f>0.015*销售预算分析!E6</f>
        <v>4410</v>
      </c>
      <c r="F7" s="112">
        <f>SUM(B7:E7)</f>
        <v>16222.5</v>
      </c>
    </row>
    <row r="8" spans="1:8">
      <c r="A8" s="132" t="s">
        <v>133</v>
      </c>
      <c r="B8" s="111">
        <f>0.018*销售预算分析!B6</f>
        <v>3780</v>
      </c>
      <c r="C8" s="111">
        <f>0.018*销售预算分析!C6</f>
        <v>4725</v>
      </c>
      <c r="D8" s="111">
        <f>0.018*销售预算分析!D6</f>
        <v>5670</v>
      </c>
      <c r="E8" s="111">
        <f>0.018*销售预算分析!E6</f>
        <v>5292</v>
      </c>
      <c r="F8" s="112">
        <f>SUM(B8:E8)</f>
        <v>19467</v>
      </c>
      <c r="H8">
        <f>2/100</f>
        <v>0.02</v>
      </c>
    </row>
    <row r="9" ht="16.35" spans="1:6">
      <c r="A9" s="133" t="s">
        <v>134</v>
      </c>
      <c r="B9" s="115">
        <f>SUM(B4:B8)</f>
        <v>24810</v>
      </c>
      <c r="C9" s="115">
        <f>SUM(C4:C8)</f>
        <v>29872.5</v>
      </c>
      <c r="D9" s="115">
        <f>SUM(D4:D8)</f>
        <v>34251</v>
      </c>
      <c r="E9" s="115">
        <f>SUM(E4:E8)</f>
        <v>33822</v>
      </c>
      <c r="F9" s="116">
        <f>SUM(F4:F8)</f>
        <v>122755.5</v>
      </c>
    </row>
    <row r="10" ht="16.35"/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showFormulas="1" workbookViewId="0">
      <selection activeCell="I7" sqref="I7"/>
    </sheetView>
  </sheetViews>
  <sheetFormatPr defaultColWidth="8.8" defaultRowHeight="15.6" outlineLevelCol="6"/>
  <cols>
    <col min="1" max="1" width="7.125" customWidth="1"/>
    <col min="2" max="2" width="9.125" customWidth="1"/>
    <col min="4" max="4" width="9.125" customWidth="1"/>
    <col min="5" max="5" width="9.25" customWidth="1"/>
    <col min="6" max="6" width="5.5" customWidth="1"/>
  </cols>
  <sheetData>
    <row r="1" ht="18.6" spans="1:6">
      <c r="A1" s="125" t="s">
        <v>128</v>
      </c>
      <c r="B1" s="125"/>
      <c r="C1" s="125"/>
      <c r="D1" s="125"/>
      <c r="E1" s="125"/>
      <c r="F1" s="125"/>
    </row>
    <row r="2" ht="16.35" spans="1:6">
      <c r="A2" s="126" t="s">
        <v>135</v>
      </c>
      <c r="B2" s="126"/>
      <c r="C2" s="126"/>
      <c r="D2" s="126"/>
      <c r="E2" s="126"/>
      <c r="F2" s="126"/>
    </row>
    <row r="3" ht="16.35" spans="1:6">
      <c r="A3" s="127" t="s">
        <v>25</v>
      </c>
      <c r="B3" s="128" t="s">
        <v>3</v>
      </c>
      <c r="C3" s="128" t="s">
        <v>4</v>
      </c>
      <c r="D3" s="128" t="s">
        <v>5</v>
      </c>
      <c r="E3" s="128" t="s">
        <v>6</v>
      </c>
      <c r="F3" s="129" t="s">
        <v>56</v>
      </c>
    </row>
    <row r="4" spans="1:7">
      <c r="A4" s="130" t="s">
        <v>130</v>
      </c>
      <c r="B4" s="118">
        <v>12000</v>
      </c>
      <c r="C4" s="118">
        <v>14000</v>
      </c>
      <c r="D4" s="118">
        <v>15400</v>
      </c>
      <c r="E4" s="118">
        <v>16000</v>
      </c>
      <c r="F4" s="119">
        <f>SUM(B4:E4)</f>
        <v>57400</v>
      </c>
      <c r="G4" s="120"/>
    </row>
    <row r="5" spans="1:7">
      <c r="A5" s="130" t="s">
        <v>13</v>
      </c>
      <c r="B5" s="118">
        <f>B4*0.14</f>
        <v>1680</v>
      </c>
      <c r="C5" s="118">
        <f>C4*0.14</f>
        <v>1960</v>
      </c>
      <c r="D5" s="118">
        <f>D4*0.14</f>
        <v>2156</v>
      </c>
      <c r="E5" s="118">
        <f>E4*0.14</f>
        <v>2240</v>
      </c>
      <c r="F5" s="119">
        <f>F4*0.14</f>
        <v>8036</v>
      </c>
      <c r="G5" s="120"/>
    </row>
    <row r="6" spans="1:7">
      <c r="A6" s="130" t="s">
        <v>131</v>
      </c>
      <c r="B6" s="118">
        <f>0.02*销售预算分析!B6</f>
        <v>4200</v>
      </c>
      <c r="C6" s="118">
        <f>0.02*销售预算分析!C6</f>
        <v>5250</v>
      </c>
      <c r="D6" s="118">
        <f>0.02*销售预算分析!D6</f>
        <v>6300</v>
      </c>
      <c r="E6" s="118">
        <f>0.02*销售预算分析!E6</f>
        <v>5880</v>
      </c>
      <c r="F6" s="119">
        <f>SUM(B6:E6)</f>
        <v>21630</v>
      </c>
      <c r="G6" s="120"/>
    </row>
    <row r="7" spans="1:7">
      <c r="A7" s="130" t="s">
        <v>132</v>
      </c>
      <c r="B7" s="118">
        <f>0.015*销售预算分析!B6</f>
        <v>3150</v>
      </c>
      <c r="C7" s="118">
        <f>0.015*销售预算分析!C6</f>
        <v>3937.5</v>
      </c>
      <c r="D7" s="118">
        <f>0.015*销售预算分析!D6</f>
        <v>4725</v>
      </c>
      <c r="E7" s="118">
        <f>0.015*销售预算分析!E6</f>
        <v>4410</v>
      </c>
      <c r="F7" s="119">
        <f>SUM(B7:E7)</f>
        <v>16222.5</v>
      </c>
      <c r="G7" s="120"/>
    </row>
    <row r="8" spans="1:7">
      <c r="A8" s="130" t="s">
        <v>133</v>
      </c>
      <c r="B8" s="118">
        <f>0.018*销售预算分析!B6</f>
        <v>3780</v>
      </c>
      <c r="C8" s="118">
        <f>0.018*销售预算分析!C6</f>
        <v>4725</v>
      </c>
      <c r="D8" s="118">
        <f>0.018*销售预算分析!D6</f>
        <v>5670</v>
      </c>
      <c r="E8" s="118">
        <f>0.018*销售预算分析!E6</f>
        <v>5292</v>
      </c>
      <c r="F8" s="119">
        <f>SUM(B8:E8)</f>
        <v>19467</v>
      </c>
      <c r="G8" s="120"/>
    </row>
    <row r="9" ht="16.35" spans="1:7">
      <c r="A9" s="131" t="s">
        <v>134</v>
      </c>
      <c r="B9" s="123">
        <f>SUM(B4:B8)</f>
        <v>24810</v>
      </c>
      <c r="C9" s="123">
        <f>SUM(C4:C8)</f>
        <v>29872.5</v>
      </c>
      <c r="D9" s="123">
        <f>SUM(D4:D8)</f>
        <v>34251</v>
      </c>
      <c r="E9" s="123">
        <f>SUM(E4:E8)</f>
        <v>33822</v>
      </c>
      <c r="F9" s="124">
        <f>SUM(F4:F8)</f>
        <v>122755.5</v>
      </c>
      <c r="G9" s="120"/>
    </row>
    <row r="10" ht="16.35" spans="1:7">
      <c r="A10" s="120"/>
      <c r="B10" s="120"/>
      <c r="C10" s="120"/>
      <c r="D10" s="120"/>
      <c r="E10" s="120"/>
      <c r="F10" s="120"/>
      <c r="G10" s="120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showFormulas="1" workbookViewId="0">
      <selection activeCell="I17" sqref="I17"/>
    </sheetView>
  </sheetViews>
  <sheetFormatPr defaultColWidth="8.8" defaultRowHeight="13.15" customHeight="1"/>
  <cols>
    <col min="1" max="1" width="5.25" customWidth="1"/>
    <col min="3" max="3" width="3.375" customWidth="1"/>
    <col min="4" max="4" width="4.75" customWidth="1"/>
    <col min="5" max="5" width="9.5" customWidth="1"/>
    <col min="6" max="6" width="9.25" customWidth="1"/>
    <col min="7" max="7" width="8.75" customWidth="1"/>
  </cols>
  <sheetData>
    <row r="1" ht="24.6" customHeight="1" spans="1:7">
      <c r="A1" s="101" t="s">
        <v>136</v>
      </c>
      <c r="B1" s="101"/>
      <c r="C1" s="101"/>
      <c r="D1" s="101"/>
      <c r="E1" s="101"/>
      <c r="F1" s="101"/>
      <c r="G1" s="101"/>
    </row>
    <row r="2" ht="15" customHeight="1" spans="1:7">
      <c r="A2" s="102" t="s">
        <v>137</v>
      </c>
      <c r="B2" s="102"/>
      <c r="C2" s="102"/>
      <c r="D2" s="102"/>
      <c r="E2" s="102"/>
      <c r="F2" s="102"/>
      <c r="G2" s="102"/>
    </row>
    <row r="3" customHeight="1" spans="1:7">
      <c r="A3" s="103" t="s">
        <v>25</v>
      </c>
      <c r="B3" s="104" t="s">
        <v>138</v>
      </c>
      <c r="C3" s="104"/>
      <c r="D3" s="104"/>
      <c r="E3" s="105" t="s">
        <v>139</v>
      </c>
      <c r="F3" s="105" t="s">
        <v>140</v>
      </c>
      <c r="G3" s="106" t="s">
        <v>141</v>
      </c>
    </row>
    <row r="4" customHeight="1" spans="1:7">
      <c r="A4" s="16"/>
      <c r="B4" s="107" t="s">
        <v>142</v>
      </c>
      <c r="C4" s="108" t="s">
        <v>143</v>
      </c>
      <c r="D4" s="108" t="s">
        <v>144</v>
      </c>
      <c r="E4" s="108"/>
      <c r="F4" s="108"/>
      <c r="G4" s="109"/>
    </row>
    <row r="5" customHeight="1" spans="1:9">
      <c r="A5" s="117" t="s">
        <v>145</v>
      </c>
      <c r="B5" s="118">
        <f>直接材料预算分析表!B8</f>
        <v>20</v>
      </c>
      <c r="C5" s="118">
        <v>2</v>
      </c>
      <c r="D5" s="118">
        <f>B5*C5</f>
        <v>40</v>
      </c>
      <c r="E5" s="118">
        <f>生产预算分析表!$F$8*D5</f>
        <v>411200</v>
      </c>
      <c r="F5" s="118">
        <f>D5*生产预算分析表!$E$5</f>
        <v>11200</v>
      </c>
      <c r="G5" s="119">
        <f>D5*销售预算分析!$F$4</f>
        <v>412000</v>
      </c>
      <c r="H5" s="120"/>
      <c r="I5" s="120"/>
    </row>
    <row r="6" customHeight="1" spans="1:9">
      <c r="A6" s="117" t="s">
        <v>146</v>
      </c>
      <c r="B6" s="118">
        <f>预计定额成本!B5</f>
        <v>4.65</v>
      </c>
      <c r="C6" s="118">
        <v>2</v>
      </c>
      <c r="D6" s="118">
        <f>B6*C6</f>
        <v>9.3</v>
      </c>
      <c r="E6" s="118">
        <f>生产预算分析表!$F$8*D6</f>
        <v>95604</v>
      </c>
      <c r="F6" s="118">
        <f>D6*生产预算分析表!$E$5</f>
        <v>2604</v>
      </c>
      <c r="G6" s="119">
        <f>D6*销售预算分析!$F$4</f>
        <v>95790</v>
      </c>
      <c r="H6" s="120"/>
      <c r="I6" s="120"/>
    </row>
    <row r="7" customHeight="1" spans="1:9">
      <c r="A7" s="117" t="s">
        <v>26</v>
      </c>
      <c r="B7" s="118">
        <f>制造费用预算分析表!G4</f>
        <v>0.21560997940032</v>
      </c>
      <c r="C7" s="118">
        <v>2</v>
      </c>
      <c r="D7" s="118">
        <f>B7*C7</f>
        <v>0.431219958800641</v>
      </c>
      <c r="E7" s="118">
        <f>生产预算分析表!$F$8*D7</f>
        <v>4432.94117647059</v>
      </c>
      <c r="F7" s="118">
        <f>D7*生产预算分析表!$E$5</f>
        <v>120.741588464179</v>
      </c>
      <c r="G7" s="119">
        <f>D7*销售预算分析!$F$4</f>
        <v>4441.5655756466</v>
      </c>
      <c r="H7" s="120"/>
      <c r="I7" s="120"/>
    </row>
    <row r="8" customHeight="1" spans="1:9">
      <c r="A8" s="117" t="s">
        <v>27</v>
      </c>
      <c r="B8" s="118">
        <f>制造费用预算分析表!G5</f>
        <v>0.214694438086519</v>
      </c>
      <c r="C8" s="118">
        <v>2</v>
      </c>
      <c r="D8" s="118">
        <f>B8*C8</f>
        <v>0.429388876173037</v>
      </c>
      <c r="E8" s="118">
        <f>生产预算分析表!$F$8*D8</f>
        <v>4414.11764705882</v>
      </c>
      <c r="F8" s="118">
        <f>D8*生产预算分析表!$E$5</f>
        <v>120.22888532845</v>
      </c>
      <c r="G8" s="119">
        <f>D8*销售预算分析!$F$4</f>
        <v>4422.70542458228</v>
      </c>
      <c r="H8" s="120"/>
      <c r="I8" s="120"/>
    </row>
    <row r="9" customHeight="1" spans="1:9">
      <c r="A9" s="121" t="s">
        <v>147</v>
      </c>
      <c r="B9" s="122"/>
      <c r="C9" s="122"/>
      <c r="D9" s="123">
        <f>SUM(D5:D8)</f>
        <v>50.1606088349737</v>
      </c>
      <c r="E9" s="123">
        <f>SUM(E5:E8)</f>
        <v>515651.058823529</v>
      </c>
      <c r="F9" s="123">
        <f>SUM(F5:F8)</f>
        <v>14044.9704737926</v>
      </c>
      <c r="G9" s="124">
        <f>SUM(G5:G8)</f>
        <v>516654.271000229</v>
      </c>
      <c r="H9" s="120"/>
      <c r="I9" s="120"/>
    </row>
    <row r="10" customHeight="1" spans="1:9">
      <c r="A10" s="120"/>
      <c r="B10" s="120"/>
      <c r="C10" s="120"/>
      <c r="D10" s="120"/>
      <c r="E10" s="120"/>
      <c r="F10" s="120"/>
      <c r="G10" s="120"/>
      <c r="H10" s="120"/>
      <c r="I10" s="120"/>
    </row>
  </sheetData>
  <mergeCells count="7">
    <mergeCell ref="A1:G1"/>
    <mergeCell ref="A2:G2"/>
    <mergeCell ref="B3:D3"/>
    <mergeCell ref="A3:A4"/>
    <mergeCell ref="E3:E4"/>
    <mergeCell ref="F3:F4"/>
    <mergeCell ref="G3:G4"/>
  </mergeCells>
  <pageMargins left="0.75" right="0.75" top="1" bottom="1" header="0.5" footer="0.5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I12" sqref="I12"/>
    </sheetView>
  </sheetViews>
  <sheetFormatPr defaultColWidth="8.8" defaultRowHeight="15.6" outlineLevelCol="6"/>
  <cols>
    <col min="1" max="1" width="16.75" customWidth="1"/>
    <col min="2" max="2" width="18.5" customWidth="1"/>
    <col min="3" max="3" width="8.75" customWidth="1"/>
    <col min="4" max="4" width="8.875"/>
    <col min="5" max="5" width="12.625"/>
    <col min="6" max="6" width="10.375"/>
    <col min="7" max="7" width="12.625"/>
  </cols>
  <sheetData>
    <row r="1" ht="26.45" customHeight="1" spans="1:7">
      <c r="A1" s="101" t="s">
        <v>136</v>
      </c>
      <c r="B1" s="101"/>
      <c r="C1" s="101"/>
      <c r="D1" s="101"/>
      <c r="E1" s="101"/>
      <c r="F1" s="101"/>
      <c r="G1" s="101"/>
    </row>
    <row r="2" ht="16.35" spans="1:7">
      <c r="A2" s="102" t="s">
        <v>137</v>
      </c>
      <c r="B2" s="102"/>
      <c r="C2" s="102"/>
      <c r="D2" s="102"/>
      <c r="E2" s="102"/>
      <c r="F2" s="102"/>
      <c r="G2" s="102"/>
    </row>
    <row r="3" ht="16.35" spans="1:7">
      <c r="A3" s="103" t="s">
        <v>25</v>
      </c>
      <c r="B3" s="104" t="s">
        <v>138</v>
      </c>
      <c r="C3" s="104"/>
      <c r="D3" s="104"/>
      <c r="E3" s="105" t="s">
        <v>139</v>
      </c>
      <c r="F3" s="105" t="s">
        <v>140</v>
      </c>
      <c r="G3" s="106" t="s">
        <v>141</v>
      </c>
    </row>
    <row r="4" spans="1:7">
      <c r="A4" s="16"/>
      <c r="B4" s="107" t="s">
        <v>142</v>
      </c>
      <c r="C4" s="108" t="s">
        <v>143</v>
      </c>
      <c r="D4" s="108" t="s">
        <v>144</v>
      </c>
      <c r="E4" s="108"/>
      <c r="F4" s="108"/>
      <c r="G4" s="109"/>
    </row>
    <row r="5" spans="1:7">
      <c r="A5" s="110" t="s">
        <v>145</v>
      </c>
      <c r="B5" s="111">
        <f>直接材料预算分析表!B8</f>
        <v>20</v>
      </c>
      <c r="C5" s="111">
        <v>2</v>
      </c>
      <c r="D5" s="111">
        <f>B5*C5</f>
        <v>40</v>
      </c>
      <c r="E5" s="111">
        <f>生产预算分析表!$F$8*D5</f>
        <v>411200</v>
      </c>
      <c r="F5" s="111">
        <f>D5*生产预算分析表!$E$5</f>
        <v>11200</v>
      </c>
      <c r="G5" s="112">
        <f>D5*销售预算分析!$F$4</f>
        <v>412000</v>
      </c>
    </row>
    <row r="6" spans="1:7">
      <c r="A6" s="110" t="s">
        <v>146</v>
      </c>
      <c r="B6" s="111">
        <f>预计定额成本!B5</f>
        <v>4.65</v>
      </c>
      <c r="C6" s="111">
        <v>2</v>
      </c>
      <c r="D6" s="111">
        <f>B6*C6</f>
        <v>9.3</v>
      </c>
      <c r="E6" s="111">
        <f>生产预算分析表!$F$8*D6</f>
        <v>95604</v>
      </c>
      <c r="F6" s="111">
        <f>D6*生产预算分析表!$E$5</f>
        <v>2604</v>
      </c>
      <c r="G6" s="112">
        <f>D6*销售预算分析!$F$4</f>
        <v>95790</v>
      </c>
    </row>
    <row r="7" spans="1:7">
      <c r="A7" s="110" t="s">
        <v>26</v>
      </c>
      <c r="B7" s="111">
        <f>制造费用预算分析表!G4</f>
        <v>0.21560997940032</v>
      </c>
      <c r="C7" s="111">
        <v>2</v>
      </c>
      <c r="D7" s="111">
        <f>B7*C7</f>
        <v>0.431219958800641</v>
      </c>
      <c r="E7" s="111">
        <f>生产预算分析表!$F$8*D7</f>
        <v>4432.94117647059</v>
      </c>
      <c r="F7" s="111">
        <f>D7*生产预算分析表!$E$5</f>
        <v>120.741588464179</v>
      </c>
      <c r="G7" s="112">
        <f>D7*销售预算分析!$F$4</f>
        <v>4441.5655756466</v>
      </c>
    </row>
    <row r="8" spans="1:7">
      <c r="A8" s="110" t="s">
        <v>27</v>
      </c>
      <c r="B8" s="111">
        <f>制造费用预算分析表!G5</f>
        <v>0.214694438086519</v>
      </c>
      <c r="C8" s="111">
        <v>2</v>
      </c>
      <c r="D8" s="111">
        <f>B8*C8</f>
        <v>0.429388876173037</v>
      </c>
      <c r="E8" s="111">
        <f>生产预算分析表!$F$8*D8</f>
        <v>4414.11764705882</v>
      </c>
      <c r="F8" s="111">
        <f>D8*生产预算分析表!$E$5</f>
        <v>120.22888532845</v>
      </c>
      <c r="G8" s="112">
        <f>D8*销售预算分析!$F$4</f>
        <v>4422.70542458228</v>
      </c>
    </row>
    <row r="9" ht="16.35" spans="1:7">
      <c r="A9" s="113" t="s">
        <v>147</v>
      </c>
      <c r="B9" s="114"/>
      <c r="C9" s="114"/>
      <c r="D9" s="115">
        <f>SUM(D5:D8)</f>
        <v>50.1606088349737</v>
      </c>
      <c r="E9" s="115">
        <f>SUM(E5:E8)</f>
        <v>515651.058823529</v>
      </c>
      <c r="F9" s="115">
        <f>SUM(F5:F8)</f>
        <v>14044.9704737926</v>
      </c>
      <c r="G9" s="116">
        <f>SUM(G5:G8)</f>
        <v>516654.271000229</v>
      </c>
    </row>
    <row r="10" ht="16.35"/>
  </sheetData>
  <mergeCells count="7">
    <mergeCell ref="A1:G1"/>
    <mergeCell ref="A2:G2"/>
    <mergeCell ref="B3:D3"/>
    <mergeCell ref="A3:A4"/>
    <mergeCell ref="E3:E4"/>
    <mergeCell ref="F3:F4"/>
    <mergeCell ref="G3:G4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showGridLines="0" workbookViewId="0">
      <pane ySplit="3" topLeftCell="BM10" activePane="bottomLeft" state="frozen"/>
      <selection/>
      <selection pane="bottomLeft" activeCell="J33" sqref="J33"/>
    </sheetView>
  </sheetViews>
  <sheetFormatPr defaultColWidth="8.8" defaultRowHeight="12" customHeight="1" outlineLevelCol="7"/>
  <cols>
    <col min="1" max="1" width="18" customWidth="1"/>
    <col min="2" max="2" width="13.375" customWidth="1"/>
    <col min="3" max="3" width="14.125" customWidth="1"/>
    <col min="4" max="4" width="13.625" customWidth="1"/>
    <col min="5" max="5" width="12.75" customWidth="1"/>
    <col min="6" max="6" width="11.5" customWidth="1"/>
    <col min="8" max="8" width="11.5"/>
  </cols>
  <sheetData>
    <row r="1" ht="20.45" customHeight="1" spans="1:6">
      <c r="A1" s="82" t="s">
        <v>148</v>
      </c>
      <c r="B1" s="82"/>
      <c r="C1" s="82"/>
      <c r="D1" s="82"/>
      <c r="E1" s="82"/>
      <c r="F1" s="82"/>
    </row>
    <row r="2" ht="14.45" customHeight="1" spans="1:6">
      <c r="A2" s="83" t="s">
        <v>149</v>
      </c>
      <c r="B2" s="83"/>
      <c r="C2" s="83"/>
      <c r="D2" s="83"/>
      <c r="E2" s="83"/>
      <c r="F2" s="83"/>
    </row>
    <row r="3" ht="13.9" customHeight="1" spans="1:6">
      <c r="A3" s="84" t="s">
        <v>25</v>
      </c>
      <c r="B3" s="85" t="s">
        <v>3</v>
      </c>
      <c r="C3" s="85" t="s">
        <v>4</v>
      </c>
      <c r="D3" s="85" t="s">
        <v>5</v>
      </c>
      <c r="E3" s="85" t="s">
        <v>5</v>
      </c>
      <c r="F3" s="86" t="s">
        <v>56</v>
      </c>
    </row>
    <row r="4" customHeight="1" spans="1:6">
      <c r="A4" s="87" t="s">
        <v>150</v>
      </c>
      <c r="B4" s="88"/>
      <c r="C4" s="88"/>
      <c r="D4" s="88"/>
      <c r="E4" s="88"/>
      <c r="F4" s="89"/>
    </row>
    <row r="5" customHeight="1" spans="1:6">
      <c r="A5" s="90" t="s">
        <v>151</v>
      </c>
      <c r="B5" s="91">
        <v>75000</v>
      </c>
      <c r="C5" s="91">
        <f>B26</f>
        <v>74364.125</v>
      </c>
      <c r="D5" s="91">
        <f>C26</f>
        <v>159443.85</v>
      </c>
      <c r="E5" s="91">
        <f>D26</f>
        <v>178186.4</v>
      </c>
      <c r="F5" s="92">
        <f>B5</f>
        <v>75000</v>
      </c>
    </row>
    <row r="6" customHeight="1" spans="1:6">
      <c r="A6" s="90" t="s">
        <v>152</v>
      </c>
      <c r="B6" s="91">
        <f>销售预算分析!B15</f>
        <v>171000</v>
      </c>
      <c r="C6" s="91">
        <f>销售预算分析!C15</f>
        <v>241500</v>
      </c>
      <c r="D6" s="91">
        <f>销售预算分析!D15</f>
        <v>294000</v>
      </c>
      <c r="E6" s="91">
        <f>销售预算分析!E15</f>
        <v>302400</v>
      </c>
      <c r="F6" s="92">
        <f>销售预算分析!F15</f>
        <v>1008900</v>
      </c>
    </row>
    <row r="7" customHeight="1" spans="1:6">
      <c r="A7" s="90" t="s">
        <v>153</v>
      </c>
      <c r="B7" s="91">
        <f>预计投资收益和营业外收入支出表!B3+预计投资收益和营业外收入支出表!C3</f>
        <v>0</v>
      </c>
      <c r="C7" s="91">
        <f>预计投资收益和营业外收入支出表!B4+预计投资收益和营业外收入支出表!C4</f>
        <v>0</v>
      </c>
      <c r="D7" s="91">
        <f>预计投资收益和营业外收入支出表!B5+预计投资收益和营业外收入支出表!C5</f>
        <v>0</v>
      </c>
      <c r="E7" s="91">
        <f>预计投资收益和营业外收入支出表!B6+预计投资收益和营业外收入支出表!C6</f>
        <v>56520</v>
      </c>
      <c r="F7" s="92">
        <f>SUM(B7:E7)</f>
        <v>56520</v>
      </c>
    </row>
    <row r="8" customHeight="1" spans="1:6">
      <c r="A8" s="93" t="s">
        <v>154</v>
      </c>
      <c r="B8" s="94">
        <f>SUM(B5:B7)</f>
        <v>246000</v>
      </c>
      <c r="C8" s="94">
        <f>SUM(C5:C7)</f>
        <v>315864.125</v>
      </c>
      <c r="D8" s="94">
        <f>SUM(D5:D7)</f>
        <v>453443.85</v>
      </c>
      <c r="E8" s="94">
        <f>SUM(E5:E7)</f>
        <v>537106.4</v>
      </c>
      <c r="F8" s="95">
        <f>SUM(F5:F7)</f>
        <v>1140420</v>
      </c>
    </row>
    <row r="9" customHeight="1" spans="1:6">
      <c r="A9" s="87" t="s">
        <v>155</v>
      </c>
      <c r="B9" s="91"/>
      <c r="C9" s="91"/>
      <c r="D9" s="91"/>
      <c r="E9" s="91"/>
      <c r="F9" s="92"/>
    </row>
    <row r="10" customHeight="1" spans="1:6">
      <c r="A10" s="96" t="s">
        <v>156</v>
      </c>
      <c r="B10" s="91">
        <f>直接材料预算分析表!B18</f>
        <v>84714</v>
      </c>
      <c r="C10" s="91">
        <f>直接材料预算分析表!C18</f>
        <v>89578.4</v>
      </c>
      <c r="D10" s="91">
        <f>直接材料预算分析表!D18</f>
        <v>105509.2</v>
      </c>
      <c r="E10" s="91">
        <f>直接材料预算分析表!E18</f>
        <v>106094.4</v>
      </c>
      <c r="F10" s="92">
        <f>直接材料预算分析表!F18</f>
        <v>385896</v>
      </c>
    </row>
    <row r="11" customHeight="1" spans="1:6">
      <c r="A11" s="96" t="s">
        <v>157</v>
      </c>
      <c r="B11" s="91">
        <f>直接人工预算分析表!B6</f>
        <v>38536.875</v>
      </c>
      <c r="C11" s="91">
        <f>直接人工预算分析表!C6</f>
        <v>50394.375</v>
      </c>
      <c r="D11" s="91">
        <f>直接人工预算分析表!D6</f>
        <v>58892.25</v>
      </c>
      <c r="E11" s="91">
        <f>直接人工预算分析表!E6</f>
        <v>55335</v>
      </c>
      <c r="F11" s="92">
        <f>直接人工预算分析表!F6</f>
        <v>203158.5</v>
      </c>
    </row>
    <row r="12" customHeight="1" spans="1:6">
      <c r="A12" s="96" t="s">
        <v>158</v>
      </c>
      <c r="B12" s="91">
        <f>制造费用预算分析表!B9</f>
        <v>2450</v>
      </c>
      <c r="C12" s="91">
        <f>制造费用预算分析表!C9</f>
        <v>4950</v>
      </c>
      <c r="D12" s="91">
        <f>制造费用预算分析表!D9</f>
        <v>5480</v>
      </c>
      <c r="E12" s="91">
        <f>制造费用预算分析表!E9</f>
        <v>5920</v>
      </c>
      <c r="F12" s="92">
        <f>制造费用预算分析表!F9</f>
        <v>18800</v>
      </c>
    </row>
    <row r="13" customHeight="1" spans="1:6">
      <c r="A13" s="96" t="s">
        <v>159</v>
      </c>
      <c r="B13" s="91">
        <f>管理费用预算分析表!$B$8</f>
        <v>7545</v>
      </c>
      <c r="C13" s="91">
        <f>管理费用预算分析表!$B$8</f>
        <v>7545</v>
      </c>
      <c r="D13" s="91">
        <f>管理费用预算分析表!$B$8</f>
        <v>7545</v>
      </c>
      <c r="E13" s="91">
        <f>管理费用预算分析表!$B$8</f>
        <v>7545</v>
      </c>
      <c r="F13" s="92">
        <f>SUM(B13:E13)</f>
        <v>30180</v>
      </c>
    </row>
    <row r="14" customHeight="1" spans="1:6">
      <c r="A14" s="96" t="s">
        <v>160</v>
      </c>
      <c r="B14" s="91">
        <f>营业费用预算分析表!B9</f>
        <v>24810</v>
      </c>
      <c r="C14" s="91">
        <f>营业费用预算分析表!C9</f>
        <v>29872.5</v>
      </c>
      <c r="D14" s="91">
        <f>营业费用预算分析表!D9</f>
        <v>34251</v>
      </c>
      <c r="E14" s="91">
        <f>营业费用预算分析表!E9</f>
        <v>33822</v>
      </c>
      <c r="F14" s="92">
        <f t="shared" ref="F14:F20" si="0">SUM(B14:E14)</f>
        <v>122755.5</v>
      </c>
    </row>
    <row r="15" customHeight="1" spans="1:6">
      <c r="A15" s="96" t="s">
        <v>161</v>
      </c>
      <c r="B15" s="91">
        <f>财务费用预算分析表!$B$11</f>
        <v>5580</v>
      </c>
      <c r="C15" s="91">
        <f>财务费用预算分析表!$B$11</f>
        <v>5580</v>
      </c>
      <c r="D15" s="91">
        <f>财务费用预算分析表!$B$11</f>
        <v>5580</v>
      </c>
      <c r="E15" s="91">
        <f>财务费用预算分析表!$B$11</f>
        <v>5580</v>
      </c>
      <c r="F15" s="92">
        <f t="shared" si="0"/>
        <v>22320</v>
      </c>
    </row>
    <row r="16" customHeight="1" spans="1:6">
      <c r="A16" s="96" t="s">
        <v>162</v>
      </c>
      <c r="B16" s="91">
        <v>3500</v>
      </c>
      <c r="C16" s="91">
        <v>3500</v>
      </c>
      <c r="D16" s="91">
        <v>3500</v>
      </c>
      <c r="E16" s="91">
        <v>3500</v>
      </c>
      <c r="F16" s="92">
        <f t="shared" si="0"/>
        <v>14000</v>
      </c>
    </row>
    <row r="17" customHeight="1" spans="1:6">
      <c r="A17" s="96" t="s">
        <v>163</v>
      </c>
      <c r="B17" s="91"/>
      <c r="C17" s="91">
        <v>12000</v>
      </c>
      <c r="D17" s="91"/>
      <c r="E17" s="91">
        <v>12000</v>
      </c>
      <c r="F17" s="92">
        <f t="shared" si="0"/>
        <v>24000</v>
      </c>
    </row>
    <row r="18" customHeight="1" spans="1:6">
      <c r="A18" s="96" t="s">
        <v>164</v>
      </c>
      <c r="B18" s="91">
        <f>预计投资收益和营业外收入支出表!D3</f>
        <v>4500</v>
      </c>
      <c r="C18" s="91">
        <f>预计投资收益和营业外收入支出表!D4</f>
        <v>3000</v>
      </c>
      <c r="D18" s="91">
        <f>预计投资收益和营业外收入支出表!D5</f>
        <v>2000</v>
      </c>
      <c r="E18" s="91">
        <f>预计投资收益和营业外收入支出表!D6</f>
        <v>8500</v>
      </c>
      <c r="F18" s="92">
        <f t="shared" si="0"/>
        <v>18000</v>
      </c>
    </row>
    <row r="19" customHeight="1" spans="1:6">
      <c r="A19" s="93" t="s">
        <v>165</v>
      </c>
      <c r="B19" s="94">
        <f>SUM(B10:B18)</f>
        <v>171635.875</v>
      </c>
      <c r="C19" s="94">
        <f>SUM(C10:C18)</f>
        <v>206420.275</v>
      </c>
      <c r="D19" s="94">
        <f>SUM(D10:D18)</f>
        <v>222757.45</v>
      </c>
      <c r="E19" s="94">
        <f>SUM(E10:E18)</f>
        <v>238296.4</v>
      </c>
      <c r="F19" s="95">
        <f t="shared" si="0"/>
        <v>839110</v>
      </c>
    </row>
    <row r="20" customHeight="1" spans="1:8">
      <c r="A20" s="93" t="s">
        <v>166</v>
      </c>
      <c r="B20" s="94">
        <f>B8-B19</f>
        <v>74364.125</v>
      </c>
      <c r="C20" s="94">
        <f>C8-C19</f>
        <v>109443.85</v>
      </c>
      <c r="D20" s="94">
        <f>D8-D19</f>
        <v>230686.4</v>
      </c>
      <c r="E20" s="94">
        <f>E8-E19</f>
        <v>298810</v>
      </c>
      <c r="F20" s="95">
        <f t="shared" si="0"/>
        <v>713304.375</v>
      </c>
      <c r="H20" s="36"/>
    </row>
    <row r="21" customHeight="1" spans="1:6">
      <c r="A21" s="87" t="s">
        <v>167</v>
      </c>
      <c r="B21" s="91"/>
      <c r="C21" s="91"/>
      <c r="D21" s="91"/>
      <c r="E21" s="91"/>
      <c r="F21" s="92"/>
    </row>
    <row r="22" customHeight="1" spans="1:6">
      <c r="A22" s="90" t="s">
        <v>168</v>
      </c>
      <c r="B22" s="91"/>
      <c r="C22" s="91">
        <v>50000</v>
      </c>
      <c r="D22" s="91"/>
      <c r="E22" s="91"/>
      <c r="F22" s="92">
        <f>SUM(B22:E22)</f>
        <v>50000</v>
      </c>
    </row>
    <row r="23" customHeight="1" spans="1:6">
      <c r="A23" s="90" t="s">
        <v>169</v>
      </c>
      <c r="B23" s="91"/>
      <c r="C23" s="91"/>
      <c r="D23" s="91">
        <v>-50000</v>
      </c>
      <c r="E23" s="91"/>
      <c r="F23" s="92">
        <f>SUM(B23:E23)</f>
        <v>-50000</v>
      </c>
    </row>
    <row r="24" customHeight="1" spans="1:6">
      <c r="A24" s="90" t="s">
        <v>170</v>
      </c>
      <c r="B24" s="91"/>
      <c r="C24" s="91"/>
      <c r="D24" s="91">
        <f>(D23*0.1/2)</f>
        <v>-2500</v>
      </c>
      <c r="E24" s="91"/>
      <c r="F24" s="92">
        <f>SUM(B24:E24)</f>
        <v>-2500</v>
      </c>
    </row>
    <row r="25" customHeight="1" spans="1:6">
      <c r="A25" s="93" t="s">
        <v>171</v>
      </c>
      <c r="B25" s="94">
        <f>SUM(B22:B24)</f>
        <v>0</v>
      </c>
      <c r="C25" s="94">
        <f>SUM(C22:C24)</f>
        <v>50000</v>
      </c>
      <c r="D25" s="94">
        <f>SUM(D22:D24)</f>
        <v>-52500</v>
      </c>
      <c r="E25" s="94">
        <f>SUM(E22:E24)</f>
        <v>0</v>
      </c>
      <c r="F25" s="95">
        <f>SUM(F22:F24)</f>
        <v>-2500</v>
      </c>
    </row>
    <row r="26" ht="13.9" customHeight="1" spans="1:6">
      <c r="A26" s="97" t="s">
        <v>172</v>
      </c>
      <c r="B26" s="98">
        <f>B20+B25</f>
        <v>74364.125</v>
      </c>
      <c r="C26" s="98">
        <f>C20+C25</f>
        <v>159443.85</v>
      </c>
      <c r="D26" s="98">
        <f>D20+D25</f>
        <v>178186.4</v>
      </c>
      <c r="E26" s="98">
        <f>E20+E25</f>
        <v>298810</v>
      </c>
      <c r="F26" s="99">
        <f>F20+F25</f>
        <v>710804.375</v>
      </c>
    </row>
    <row r="27" customHeight="1" spans="1:6">
      <c r="A27" s="100"/>
      <c r="B27" s="100"/>
      <c r="C27" s="100"/>
      <c r="D27" s="100"/>
      <c r="E27" s="100"/>
      <c r="F27" s="100"/>
    </row>
    <row r="28" customHeight="1" spans="1:6">
      <c r="A28" s="100"/>
      <c r="B28" s="100"/>
      <c r="C28" s="100"/>
      <c r="D28" s="100"/>
      <c r="E28" s="100"/>
      <c r="F28" s="100"/>
    </row>
    <row r="31" customHeight="1" spans="4:4">
      <c r="D31" s="36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showFormulas="1" workbookViewId="0">
      <selection activeCell="C1" sqref="C1"/>
    </sheetView>
  </sheetViews>
  <sheetFormatPr defaultColWidth="8.8" defaultRowHeight="24" customHeight="1" outlineLevelCol="5"/>
  <cols>
    <col min="1" max="1" width="30.7" style="69" customWidth="1"/>
    <col min="2" max="2" width="30.7" style="70" customWidth="1"/>
  </cols>
  <sheetData>
    <row r="1" ht="48" customHeight="1" spans="1:2">
      <c r="A1" s="6" t="s">
        <v>173</v>
      </c>
      <c r="B1" s="71"/>
    </row>
    <row r="2" customHeight="1" spans="1:2">
      <c r="A2" s="72" t="s">
        <v>174</v>
      </c>
      <c r="B2" s="73"/>
    </row>
    <row r="3" customHeight="1" spans="1:2">
      <c r="A3" s="74" t="s">
        <v>25</v>
      </c>
      <c r="B3" s="75" t="s">
        <v>175</v>
      </c>
    </row>
    <row r="4" customHeight="1" spans="1:2">
      <c r="A4" s="76" t="s">
        <v>176</v>
      </c>
      <c r="B4" s="77">
        <f>销售预算分析!F6</f>
        <v>1081500</v>
      </c>
    </row>
    <row r="5" customHeight="1" spans="1:2">
      <c r="A5" s="76" t="s">
        <v>177</v>
      </c>
      <c r="B5" s="77">
        <f>产品成本预算分析表!G9</f>
        <v>516654.271000229</v>
      </c>
    </row>
    <row r="6" customHeight="1" spans="1:2">
      <c r="A6" s="78" t="s">
        <v>178</v>
      </c>
      <c r="B6" s="79">
        <f>B4-B5</f>
        <v>564845.728999771</v>
      </c>
    </row>
    <row r="7" customHeight="1" spans="1:2">
      <c r="A7" s="76" t="s">
        <v>179</v>
      </c>
      <c r="B7" s="77">
        <f>营业费用预算分析表!F9</f>
        <v>122755.5</v>
      </c>
    </row>
    <row r="8" customHeight="1" spans="1:2">
      <c r="A8" s="76" t="s">
        <v>180</v>
      </c>
      <c r="B8" s="77">
        <f>管理费用预算分析表!B7</f>
        <v>30180</v>
      </c>
    </row>
    <row r="9" customHeight="1" spans="1:2">
      <c r="A9" s="76" t="s">
        <v>181</v>
      </c>
      <c r="B9" s="77">
        <f>财务费用预算分析表!B10</f>
        <v>22320</v>
      </c>
    </row>
    <row r="10" customHeight="1" spans="1:2">
      <c r="A10" s="78" t="s">
        <v>182</v>
      </c>
      <c r="B10" s="79">
        <f>B6-B7-B8-B9</f>
        <v>389590.228999771</v>
      </c>
    </row>
    <row r="11" customHeight="1" spans="1:2">
      <c r="A11" s="76" t="s">
        <v>183</v>
      </c>
      <c r="B11" s="77">
        <f>预计投资收益和营业外收入支出表!B8</f>
        <v>25000</v>
      </c>
    </row>
    <row r="12" customHeight="1" spans="1:2">
      <c r="A12" s="76" t="s">
        <v>184</v>
      </c>
      <c r="B12" s="77">
        <f>预计投资收益和营业外收入支出表!C8</f>
        <v>31520</v>
      </c>
    </row>
    <row r="13" customHeight="1" spans="1:2">
      <c r="A13" s="76" t="s">
        <v>185</v>
      </c>
      <c r="B13" s="77">
        <f>预计投资收益和营业外收入支出表!D8</f>
        <v>18000</v>
      </c>
    </row>
    <row r="14" customHeight="1" spans="1:2">
      <c r="A14" s="78" t="s">
        <v>186</v>
      </c>
      <c r="B14" s="79">
        <f>B10+B11+B12-B13</f>
        <v>428110.228999771</v>
      </c>
    </row>
    <row r="15" customHeight="1" spans="1:2">
      <c r="A15" s="76" t="s">
        <v>187</v>
      </c>
      <c r="B15" s="77">
        <f>现金预算分析表!F16</f>
        <v>14000</v>
      </c>
    </row>
    <row r="16" customHeight="1" spans="1:2">
      <c r="A16" s="80" t="s">
        <v>188</v>
      </c>
      <c r="B16" s="81">
        <f>B14-B15</f>
        <v>414110.228999771</v>
      </c>
    </row>
    <row r="26" customHeight="1" spans="6:6">
      <c r="F26" t="s">
        <v>189</v>
      </c>
    </row>
  </sheetData>
  <mergeCells count="2">
    <mergeCell ref="A1:B1"/>
    <mergeCell ref="A2:B2"/>
  </mergeCells>
  <pageMargins left="0.75" right="0.75" top="1" bottom="1" header="0.5" footer="0.5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6"/>
  <sheetViews>
    <sheetView workbookViewId="0">
      <selection activeCell="E9" sqref="E9"/>
    </sheetView>
  </sheetViews>
  <sheetFormatPr defaultColWidth="8.8" defaultRowHeight="24" customHeight="1" outlineLevelCol="1"/>
  <cols>
    <col min="1" max="1" width="30.7" style="69" customWidth="1"/>
    <col min="2" max="2" width="30.7" style="70" customWidth="1"/>
  </cols>
  <sheetData>
    <row r="1" ht="50" customHeight="1" spans="1:2">
      <c r="A1" s="6" t="s">
        <v>173</v>
      </c>
      <c r="B1" s="71"/>
    </row>
    <row r="2" customHeight="1" spans="1:2">
      <c r="A2" s="72" t="s">
        <v>174</v>
      </c>
      <c r="B2" s="73"/>
    </row>
    <row r="3" customHeight="1" spans="1:2">
      <c r="A3" s="74" t="s">
        <v>25</v>
      </c>
      <c r="B3" s="75" t="s">
        <v>175</v>
      </c>
    </row>
    <row r="4" customHeight="1" spans="1:2">
      <c r="A4" s="76" t="s">
        <v>176</v>
      </c>
      <c r="B4" s="77">
        <f>销售预算分析!F6</f>
        <v>1081500</v>
      </c>
    </row>
    <row r="5" customHeight="1" spans="1:2">
      <c r="A5" s="76" t="s">
        <v>177</v>
      </c>
      <c r="B5" s="77">
        <f>产品成本预算分析表!G9</f>
        <v>516654.271000229</v>
      </c>
    </row>
    <row r="6" customHeight="1" spans="1:2">
      <c r="A6" s="78" t="s">
        <v>178</v>
      </c>
      <c r="B6" s="79">
        <f>B4-B5</f>
        <v>564845.728999771</v>
      </c>
    </row>
    <row r="7" customHeight="1" spans="1:2">
      <c r="A7" s="76" t="s">
        <v>179</v>
      </c>
      <c r="B7" s="77">
        <f>营业费用预算分析表!F9</f>
        <v>122755.5</v>
      </c>
    </row>
    <row r="8" customHeight="1" spans="1:2">
      <c r="A8" s="76" t="s">
        <v>180</v>
      </c>
      <c r="B8" s="77">
        <f>管理费用预算分析表!B7</f>
        <v>30180</v>
      </c>
    </row>
    <row r="9" customHeight="1" spans="1:2">
      <c r="A9" s="76" t="s">
        <v>181</v>
      </c>
      <c r="B9" s="77">
        <f>财务费用预算分析表!B10</f>
        <v>22320</v>
      </c>
    </row>
    <row r="10" customHeight="1" spans="1:2">
      <c r="A10" s="78" t="s">
        <v>182</v>
      </c>
      <c r="B10" s="79">
        <f>B6-B7-B8-B9</f>
        <v>389590.228999771</v>
      </c>
    </row>
    <row r="11" customHeight="1" spans="1:2">
      <c r="A11" s="76" t="s">
        <v>183</v>
      </c>
      <c r="B11" s="77">
        <f>预计投资收益和营业外收入支出表!B8</f>
        <v>25000</v>
      </c>
    </row>
    <row r="12" customHeight="1" spans="1:2">
      <c r="A12" s="76" t="s">
        <v>184</v>
      </c>
      <c r="B12" s="77">
        <f>预计投资收益和营业外收入支出表!C8</f>
        <v>31520</v>
      </c>
    </row>
    <row r="13" customHeight="1" spans="1:2">
      <c r="A13" s="76" t="s">
        <v>185</v>
      </c>
      <c r="B13" s="77">
        <f>预计投资收益和营业外收入支出表!D8</f>
        <v>18000</v>
      </c>
    </row>
    <row r="14" customHeight="1" spans="1:2">
      <c r="A14" s="78" t="s">
        <v>186</v>
      </c>
      <c r="B14" s="79">
        <f>B10+B11+B12-B13</f>
        <v>428110.228999771</v>
      </c>
    </row>
    <row r="15" customHeight="1" spans="1:2">
      <c r="A15" s="76" t="s">
        <v>187</v>
      </c>
      <c r="B15" s="77">
        <f>现金预算分析表!F16</f>
        <v>14000</v>
      </c>
    </row>
    <row r="16" customHeight="1" spans="1:2">
      <c r="A16" s="80" t="s">
        <v>188</v>
      </c>
      <c r="B16" s="81">
        <f>B14-B15</f>
        <v>414110.228999771</v>
      </c>
    </row>
  </sheetData>
  <mergeCells count="2">
    <mergeCell ref="A1:B1"/>
    <mergeCell ref="A2:B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Formulas="1" workbookViewId="0">
      <selection activeCell="A1" sqref="A1:F1"/>
    </sheetView>
  </sheetViews>
  <sheetFormatPr defaultColWidth="8.8" defaultRowHeight="24" customHeight="1" outlineLevelCol="6"/>
  <cols>
    <col min="1" max="1" width="18.7" style="37" customWidth="1"/>
    <col min="2" max="3" width="15.7" style="37" customWidth="1"/>
    <col min="4" max="4" width="18.7" style="37" customWidth="1"/>
    <col min="5" max="6" width="15.7" style="37" customWidth="1"/>
  </cols>
  <sheetData>
    <row r="1" ht="48" customHeight="1" spans="1:6">
      <c r="A1" s="6" t="s">
        <v>190</v>
      </c>
      <c r="B1" s="6"/>
      <c r="C1" s="6"/>
      <c r="D1" s="6"/>
      <c r="E1" s="6"/>
      <c r="F1" s="6"/>
    </row>
    <row r="2" customHeight="1" spans="1:6">
      <c r="A2" s="38" t="s">
        <v>191</v>
      </c>
      <c r="B2" s="38"/>
      <c r="C2" s="38"/>
      <c r="D2" s="38"/>
      <c r="E2" s="38"/>
      <c r="F2" s="38"/>
    </row>
    <row r="3" customHeight="1" spans="1:6">
      <c r="A3" s="39" t="s">
        <v>192</v>
      </c>
      <c r="B3" s="40" t="s">
        <v>193</v>
      </c>
      <c r="C3" s="41" t="s">
        <v>194</v>
      </c>
      <c r="D3" s="39" t="s">
        <v>195</v>
      </c>
      <c r="E3" s="41" t="s">
        <v>193</v>
      </c>
      <c r="F3" s="42" t="s">
        <v>194</v>
      </c>
    </row>
    <row r="4" customHeight="1" spans="1:7">
      <c r="A4" s="43" t="s">
        <v>196</v>
      </c>
      <c r="B4" s="44"/>
      <c r="C4" s="45"/>
      <c r="D4" s="43" t="s">
        <v>197</v>
      </c>
      <c r="E4" s="45"/>
      <c r="F4" s="46"/>
      <c r="G4" s="47"/>
    </row>
    <row r="5" customHeight="1" spans="1:7">
      <c r="A5" s="48" t="s">
        <v>198</v>
      </c>
      <c r="B5" s="49">
        <f>现金预算分析表!B5</f>
        <v>75000</v>
      </c>
      <c r="C5" s="50">
        <f>现金预算分析表!F26</f>
        <v>710804.375</v>
      </c>
      <c r="D5" s="48" t="s">
        <v>199</v>
      </c>
      <c r="E5" s="51">
        <v>80000</v>
      </c>
      <c r="F5" s="52">
        <v>75610.15</v>
      </c>
      <c r="G5" s="47"/>
    </row>
    <row r="6" customHeight="1" spans="1:7">
      <c r="A6" s="48" t="s">
        <v>200</v>
      </c>
      <c r="B6" s="49">
        <f>销售预算分析!B10</f>
        <v>45000</v>
      </c>
      <c r="C6" s="50">
        <f>销售预算分析!E6*40%</f>
        <v>117600</v>
      </c>
      <c r="D6" s="48" t="s">
        <v>201</v>
      </c>
      <c r="E6" s="51">
        <f>直接材料预算分析表!B13</f>
        <v>35000</v>
      </c>
      <c r="F6" s="52">
        <f>直接材料预算分析表!E9*30%</f>
        <v>31464</v>
      </c>
      <c r="G6" s="47"/>
    </row>
    <row r="7" customHeight="1" spans="1:7">
      <c r="A7" s="48" t="s">
        <v>202</v>
      </c>
      <c r="B7" s="49">
        <f>B6*0.05</f>
        <v>2250</v>
      </c>
      <c r="C7" s="50">
        <f>C6*0.05</f>
        <v>5880</v>
      </c>
      <c r="D7" s="48" t="s">
        <v>203</v>
      </c>
      <c r="E7" s="51">
        <v>2750</v>
      </c>
      <c r="F7" s="52">
        <f>现金预算分析表!F16</f>
        <v>14000</v>
      </c>
      <c r="G7" s="47"/>
    </row>
    <row r="8" customHeight="1" spans="1:7">
      <c r="A8" s="48" t="s">
        <v>204</v>
      </c>
      <c r="B8" s="49">
        <f>B6-B7</f>
        <v>42750</v>
      </c>
      <c r="C8" s="50">
        <f>C6-C7</f>
        <v>111720</v>
      </c>
      <c r="D8" s="48"/>
      <c r="E8" s="51"/>
      <c r="F8" s="52"/>
      <c r="G8" s="47"/>
    </row>
    <row r="9" customHeight="1" spans="1:7">
      <c r="A9" s="48" t="s">
        <v>205</v>
      </c>
      <c r="B9" s="49">
        <f>直接材料预算分析表!B6*直接材料预算分析表!B8</f>
        <v>20000</v>
      </c>
      <c r="C9" s="53">
        <f>直接材料预算分析表!E4*直接材料预算分析表!E8</f>
        <v>22000</v>
      </c>
      <c r="D9" s="48"/>
      <c r="E9" s="51"/>
      <c r="F9" s="52"/>
      <c r="G9" s="47"/>
    </row>
    <row r="10" customHeight="1" spans="1:7">
      <c r="A10" s="48"/>
      <c r="B10" s="49"/>
      <c r="C10" s="50"/>
      <c r="D10" s="48"/>
      <c r="E10" s="51"/>
      <c r="F10" s="52"/>
      <c r="G10" s="47"/>
    </row>
    <row r="11" customHeight="1" spans="1:7">
      <c r="A11" s="54" t="s">
        <v>206</v>
      </c>
      <c r="B11" s="55">
        <f>B5+B8+B9</f>
        <v>137750</v>
      </c>
      <c r="C11" s="56">
        <f>C5+C8+C9</f>
        <v>844524.375</v>
      </c>
      <c r="D11" s="54" t="s">
        <v>207</v>
      </c>
      <c r="E11" s="57">
        <f>SUM(E5:E10)</f>
        <v>117750</v>
      </c>
      <c r="F11" s="58">
        <f>F5+F6+F7</f>
        <v>121074.15</v>
      </c>
      <c r="G11" s="47"/>
    </row>
    <row r="12" customHeight="1" spans="1:7">
      <c r="A12" s="48"/>
      <c r="B12" s="49"/>
      <c r="C12" s="50"/>
      <c r="D12" s="48"/>
      <c r="E12" s="51"/>
      <c r="F12" s="52"/>
      <c r="G12" s="47"/>
    </row>
    <row r="13" customHeight="1" spans="1:7">
      <c r="A13" s="43" t="s">
        <v>208</v>
      </c>
      <c r="B13" s="59"/>
      <c r="C13" s="60"/>
      <c r="D13" s="43" t="s">
        <v>209</v>
      </c>
      <c r="E13" s="61"/>
      <c r="F13" s="62"/>
      <c r="G13" s="47"/>
    </row>
    <row r="14" customHeight="1" spans="1:7">
      <c r="A14" s="48" t="s">
        <v>210</v>
      </c>
      <c r="B14" s="49">
        <v>50000</v>
      </c>
      <c r="C14" s="50">
        <f>现金预算分析表!F17</f>
        <v>24000</v>
      </c>
      <c r="D14" s="48" t="s">
        <v>211</v>
      </c>
      <c r="E14" s="51">
        <v>50000</v>
      </c>
      <c r="F14" s="52">
        <v>200000</v>
      </c>
      <c r="G14" s="47"/>
    </row>
    <row r="15" customHeight="1" spans="1:7">
      <c r="A15" s="48" t="s">
        <v>212</v>
      </c>
      <c r="B15" s="49">
        <f>B14*0.2</f>
        <v>10000</v>
      </c>
      <c r="C15" s="50">
        <f>C14*0.2</f>
        <v>4800</v>
      </c>
      <c r="D15" s="48" t="s">
        <v>213</v>
      </c>
      <c r="E15" s="51">
        <v>50000</v>
      </c>
      <c r="F15" s="52">
        <v>108540</v>
      </c>
      <c r="G15" s="47"/>
    </row>
    <row r="16" customHeight="1" spans="1:7">
      <c r="A16" s="48" t="s">
        <v>214</v>
      </c>
      <c r="B16" s="49">
        <f>B14-B15</f>
        <v>40000</v>
      </c>
      <c r="C16" s="50">
        <f>C14-C15</f>
        <v>19200</v>
      </c>
      <c r="D16" s="48" t="s">
        <v>215</v>
      </c>
      <c r="E16" s="51">
        <v>20000</v>
      </c>
      <c r="F16" s="52">
        <f>E16+预算损益表!B16</f>
        <v>434110.228999771</v>
      </c>
      <c r="G16" s="47"/>
    </row>
    <row r="17" customHeight="1" spans="1:7">
      <c r="A17" s="48"/>
      <c r="B17" s="49"/>
      <c r="C17" s="50"/>
      <c r="D17" s="48"/>
      <c r="E17" s="51"/>
      <c r="F17" s="52"/>
      <c r="G17" s="47"/>
    </row>
    <row r="18" customHeight="1" spans="1:7">
      <c r="A18" s="54" t="s">
        <v>216</v>
      </c>
      <c r="B18" s="63">
        <f>SUM(B14:B17)</f>
        <v>100000</v>
      </c>
      <c r="C18" s="56">
        <f>C16</f>
        <v>19200</v>
      </c>
      <c r="D18" s="54" t="s">
        <v>217</v>
      </c>
      <c r="E18" s="57">
        <f>SUM(E14:E16)</f>
        <v>120000</v>
      </c>
      <c r="F18" s="58">
        <f>F14+F15+F16</f>
        <v>742650.228999771</v>
      </c>
      <c r="G18" s="47"/>
    </row>
    <row r="19" customHeight="1" spans="1:7">
      <c r="A19" s="48"/>
      <c r="B19" s="49"/>
      <c r="C19" s="50"/>
      <c r="D19" s="48"/>
      <c r="E19" s="51"/>
      <c r="F19" s="52"/>
      <c r="G19" s="47"/>
    </row>
    <row r="20" customHeight="1" spans="1:7">
      <c r="A20" s="64" t="s">
        <v>218</v>
      </c>
      <c r="B20" s="65">
        <f>B11+B18</f>
        <v>237750</v>
      </c>
      <c r="C20" s="66">
        <f>C11+C18</f>
        <v>863724.375</v>
      </c>
      <c r="D20" s="64" t="s">
        <v>219</v>
      </c>
      <c r="E20" s="67">
        <f>E18+E11</f>
        <v>237750</v>
      </c>
      <c r="F20" s="68">
        <f>F11+F18</f>
        <v>863724.378999771</v>
      </c>
      <c r="G20" s="47"/>
    </row>
  </sheetData>
  <mergeCells count="2">
    <mergeCell ref="A1:F1"/>
    <mergeCell ref="A2:F2"/>
  </mergeCells>
  <pageMargins left="0.75" right="0.75" top="1" bottom="1" header="0.5" footer="0.5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showGridLines="0" tabSelected="1" workbookViewId="0">
      <selection activeCell="H6" sqref="H6"/>
    </sheetView>
  </sheetViews>
  <sheetFormatPr defaultColWidth="8.8" defaultRowHeight="15.6" outlineLevelCol="5"/>
  <cols>
    <col min="1" max="1" width="16.75" customWidth="1"/>
    <col min="2" max="2" width="14.25" customWidth="1"/>
    <col min="3" max="3" width="15.25" customWidth="1"/>
    <col min="4" max="4" width="20.75" customWidth="1"/>
    <col min="5" max="5" width="13.875" customWidth="1"/>
    <col min="6" max="6" width="20" customWidth="1"/>
  </cols>
  <sheetData>
    <row r="1" ht="21" customHeight="1" spans="1:6">
      <c r="A1" s="6" t="s">
        <v>190</v>
      </c>
      <c r="B1" s="6"/>
      <c r="C1" s="6"/>
      <c r="D1" s="6"/>
      <c r="E1" s="6"/>
      <c r="F1" s="6"/>
    </row>
    <row r="2" ht="21" customHeight="1" spans="1:6">
      <c r="A2" s="7" t="s">
        <v>191</v>
      </c>
      <c r="B2" s="7"/>
      <c r="C2" s="7"/>
      <c r="D2" s="7"/>
      <c r="E2" s="7"/>
      <c r="F2" s="7"/>
    </row>
    <row r="3" ht="21" customHeight="1" spans="1:6">
      <c r="A3" s="8" t="s">
        <v>192</v>
      </c>
      <c r="B3" s="9" t="s">
        <v>193</v>
      </c>
      <c r="C3" s="10" t="s">
        <v>194</v>
      </c>
      <c r="D3" s="8" t="s">
        <v>195</v>
      </c>
      <c r="E3" s="10" t="s">
        <v>193</v>
      </c>
      <c r="F3" s="11" t="s">
        <v>194</v>
      </c>
    </row>
    <row r="4" ht="21" customHeight="1" spans="1:6">
      <c r="A4" s="12" t="s">
        <v>196</v>
      </c>
      <c r="B4" s="13"/>
      <c r="C4" s="14"/>
      <c r="D4" s="12" t="s">
        <v>197</v>
      </c>
      <c r="E4" s="14"/>
      <c r="F4" s="15"/>
    </row>
    <row r="5" ht="21" customHeight="1" spans="1:6">
      <c r="A5" s="16" t="s">
        <v>198</v>
      </c>
      <c r="B5" s="17">
        <f>现金预算分析表!B5</f>
        <v>75000</v>
      </c>
      <c r="C5" s="18">
        <f>现金预算分析表!F26</f>
        <v>710804.375</v>
      </c>
      <c r="D5" s="16" t="s">
        <v>199</v>
      </c>
      <c r="E5" s="19">
        <v>80000</v>
      </c>
      <c r="F5" s="20">
        <v>75610.15</v>
      </c>
    </row>
    <row r="6" ht="21" customHeight="1" spans="1:6">
      <c r="A6" s="16" t="s">
        <v>200</v>
      </c>
      <c r="B6" s="17">
        <f>销售预算分析!B10</f>
        <v>45000</v>
      </c>
      <c r="C6" s="18">
        <f>销售预算分析!E6*40%</f>
        <v>117600</v>
      </c>
      <c r="D6" s="16" t="s">
        <v>201</v>
      </c>
      <c r="E6" s="19">
        <f>直接材料预算分析表!B13</f>
        <v>35000</v>
      </c>
      <c r="F6" s="20">
        <f>直接材料预算分析表!E9*30%</f>
        <v>31464</v>
      </c>
    </row>
    <row r="7" ht="21" customHeight="1" spans="1:6">
      <c r="A7" s="16" t="s">
        <v>202</v>
      </c>
      <c r="B7" s="17">
        <f>B6*0.05</f>
        <v>2250</v>
      </c>
      <c r="C7" s="18">
        <f>C6*0.05</f>
        <v>5880</v>
      </c>
      <c r="D7" s="16" t="s">
        <v>203</v>
      </c>
      <c r="E7" s="19">
        <v>2750</v>
      </c>
      <c r="F7" s="20">
        <f>现金预算分析表!F16</f>
        <v>14000</v>
      </c>
    </row>
    <row r="8" ht="21" customHeight="1" spans="1:6">
      <c r="A8" s="16" t="s">
        <v>204</v>
      </c>
      <c r="B8" s="17">
        <f>B6-B7</f>
        <v>42750</v>
      </c>
      <c r="C8" s="18">
        <f>C6-C7</f>
        <v>111720</v>
      </c>
      <c r="D8" s="16"/>
      <c r="E8" s="19"/>
      <c r="F8" s="20"/>
    </row>
    <row r="9" ht="21" customHeight="1" spans="1:6">
      <c r="A9" s="16" t="s">
        <v>205</v>
      </c>
      <c r="B9" s="17">
        <f>直接材料预算分析表!B6*直接材料预算分析表!B8</f>
        <v>20000</v>
      </c>
      <c r="C9" s="18">
        <f>直接材料预算分析表!E4*直接材料预算分析表!E8</f>
        <v>22000</v>
      </c>
      <c r="D9" s="16"/>
      <c r="E9" s="19"/>
      <c r="F9" s="20"/>
    </row>
    <row r="10" ht="21" customHeight="1" spans="1:6">
      <c r="A10" s="16"/>
      <c r="B10" s="17"/>
      <c r="C10" s="18"/>
      <c r="D10" s="16"/>
      <c r="E10" s="19"/>
      <c r="F10" s="20"/>
    </row>
    <row r="11" ht="21" customHeight="1" spans="1:6">
      <c r="A11" s="21" t="s">
        <v>206</v>
      </c>
      <c r="B11" s="22">
        <f>B5+B8+B9</f>
        <v>137750</v>
      </c>
      <c r="C11" s="23">
        <f>C5+C8+C9</f>
        <v>844524.375</v>
      </c>
      <c r="D11" s="21" t="s">
        <v>207</v>
      </c>
      <c r="E11" s="24">
        <f>SUM(E5:E10)</f>
        <v>117750</v>
      </c>
      <c r="F11" s="25">
        <f>F5+F6+F7</f>
        <v>121074.15</v>
      </c>
    </row>
    <row r="12" ht="21" customHeight="1" spans="1:6">
      <c r="A12" s="16"/>
      <c r="B12" s="17"/>
      <c r="C12" s="18"/>
      <c r="D12" s="16"/>
      <c r="E12" s="19"/>
      <c r="F12" s="20"/>
    </row>
    <row r="13" ht="21" customHeight="1" spans="1:6">
      <c r="A13" s="12" t="s">
        <v>208</v>
      </c>
      <c r="B13" s="26"/>
      <c r="C13" s="27"/>
      <c r="D13" s="12" t="s">
        <v>209</v>
      </c>
      <c r="E13" s="28"/>
      <c r="F13" s="29"/>
    </row>
    <row r="14" ht="21" customHeight="1" spans="1:6">
      <c r="A14" s="16" t="s">
        <v>210</v>
      </c>
      <c r="B14" s="17">
        <v>50000</v>
      </c>
      <c r="C14" s="18">
        <f>现金预算分析表!F17</f>
        <v>24000</v>
      </c>
      <c r="D14" s="16" t="s">
        <v>211</v>
      </c>
      <c r="E14" s="19">
        <v>50000</v>
      </c>
      <c r="F14" s="20">
        <v>200000</v>
      </c>
    </row>
    <row r="15" ht="21" customHeight="1" spans="1:6">
      <c r="A15" s="16" t="s">
        <v>212</v>
      </c>
      <c r="B15" s="17">
        <f>B14*0.2</f>
        <v>10000</v>
      </c>
      <c r="C15" s="18">
        <f>C14*0.2</f>
        <v>4800</v>
      </c>
      <c r="D15" s="16" t="s">
        <v>213</v>
      </c>
      <c r="E15" s="19">
        <v>50000</v>
      </c>
      <c r="F15" s="20">
        <v>108540</v>
      </c>
    </row>
    <row r="16" ht="21" customHeight="1" spans="1:6">
      <c r="A16" s="16" t="s">
        <v>214</v>
      </c>
      <c r="B16" s="17">
        <f>B14-B15</f>
        <v>40000</v>
      </c>
      <c r="C16" s="18">
        <f>C14-C15</f>
        <v>19200</v>
      </c>
      <c r="D16" s="16" t="s">
        <v>215</v>
      </c>
      <c r="E16" s="19">
        <v>20000</v>
      </c>
      <c r="F16" s="20">
        <f>E16+预算损益表!B16</f>
        <v>434110.228999771</v>
      </c>
    </row>
    <row r="17" ht="21" customHeight="1" spans="1:6">
      <c r="A17" s="16"/>
      <c r="B17" s="17"/>
      <c r="C17" s="18"/>
      <c r="D17" s="16"/>
      <c r="E17" s="19"/>
      <c r="F17" s="20"/>
    </row>
    <row r="18" ht="21" customHeight="1" spans="1:6">
      <c r="A18" s="21" t="s">
        <v>216</v>
      </c>
      <c r="B18" s="30">
        <f>SUM(B14:B17)</f>
        <v>100000</v>
      </c>
      <c r="C18" s="23">
        <f>C16</f>
        <v>19200</v>
      </c>
      <c r="D18" s="21" t="s">
        <v>217</v>
      </c>
      <c r="E18" s="24">
        <f>SUM(E14:E16)</f>
        <v>120000</v>
      </c>
      <c r="F18" s="25">
        <f>F14+F15+F16</f>
        <v>742650.228999771</v>
      </c>
    </row>
    <row r="19" ht="21" customHeight="1" spans="1:6">
      <c r="A19" s="16"/>
      <c r="B19" s="17"/>
      <c r="C19" s="18"/>
      <c r="D19" s="16"/>
      <c r="E19" s="19"/>
      <c r="F19" s="20"/>
    </row>
    <row r="20" ht="21" customHeight="1" spans="1:6">
      <c r="A20" s="31" t="s">
        <v>218</v>
      </c>
      <c r="B20" s="32">
        <f>B11+B18</f>
        <v>237750</v>
      </c>
      <c r="C20" s="33">
        <f>C11+C18</f>
        <v>863724.375</v>
      </c>
      <c r="D20" s="31" t="s">
        <v>219</v>
      </c>
      <c r="E20" s="34">
        <f>E18+E11</f>
        <v>237750</v>
      </c>
      <c r="F20" s="35">
        <f>F11+F18</f>
        <v>863724.378999771</v>
      </c>
    </row>
    <row r="21" ht="16.35"/>
    <row r="22" spans="5:5">
      <c r="E22" s="36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G5" sqref="G5"/>
    </sheetView>
  </sheetViews>
  <sheetFormatPr defaultColWidth="8.8" defaultRowHeight="15.6" outlineLevelRow="7" outlineLevelCol="4"/>
  <cols>
    <col min="1" max="1" width="13.75"/>
    <col min="2" max="3" width="12.75" customWidth="1"/>
    <col min="4" max="4" width="12.25" customWidth="1"/>
    <col min="5" max="5" width="14.5" customWidth="1"/>
  </cols>
  <sheetData>
    <row r="1" ht="21" customHeight="1" spans="1:5">
      <c r="A1" s="125" t="s">
        <v>9</v>
      </c>
      <c r="B1" s="125"/>
      <c r="C1" s="125"/>
      <c r="D1" s="125"/>
      <c r="E1" s="125"/>
    </row>
    <row r="2" ht="21" customHeight="1" spans="1:5">
      <c r="A2" s="72" t="s">
        <v>24</v>
      </c>
      <c r="B2" s="72"/>
      <c r="C2" s="72"/>
      <c r="D2" s="72"/>
      <c r="E2" s="72"/>
    </row>
    <row r="3" ht="21" customHeight="1" spans="1:5">
      <c r="A3" s="240" t="s">
        <v>25</v>
      </c>
      <c r="B3" s="241" t="s">
        <v>3</v>
      </c>
      <c r="C3" s="241" t="s">
        <v>4</v>
      </c>
      <c r="D3" s="241" t="s">
        <v>5</v>
      </c>
      <c r="E3" s="242" t="s">
        <v>6</v>
      </c>
    </row>
    <row r="4" ht="21" customHeight="1" spans="1:5">
      <c r="A4" s="223" t="s">
        <v>26</v>
      </c>
      <c r="B4" s="150">
        <v>1200</v>
      </c>
      <c r="C4" s="150">
        <v>2500</v>
      </c>
      <c r="D4" s="150">
        <v>2800</v>
      </c>
      <c r="E4" s="224">
        <v>2920</v>
      </c>
    </row>
    <row r="5" ht="21" customHeight="1" spans="1:5">
      <c r="A5" s="223" t="s">
        <v>27</v>
      </c>
      <c r="B5" s="150">
        <v>1250</v>
      </c>
      <c r="C5" s="150">
        <v>2450</v>
      </c>
      <c r="D5" s="150">
        <v>2680</v>
      </c>
      <c r="E5" s="224">
        <v>3000</v>
      </c>
    </row>
    <row r="6" ht="21" customHeight="1" spans="1:5">
      <c r="A6" s="223" t="s">
        <v>28</v>
      </c>
      <c r="B6" s="150">
        <v>800</v>
      </c>
      <c r="C6" s="150">
        <v>500</v>
      </c>
      <c r="D6" s="150">
        <v>750</v>
      </c>
      <c r="E6" s="224">
        <v>860</v>
      </c>
    </row>
    <row r="7" ht="21" customHeight="1" spans="1:5">
      <c r="A7" s="223"/>
      <c r="B7" s="150"/>
      <c r="C7" s="150"/>
      <c r="D7" s="150"/>
      <c r="E7" s="224"/>
    </row>
    <row r="8" ht="21" customHeight="1" spans="1:5">
      <c r="A8" s="225" t="s">
        <v>29</v>
      </c>
      <c r="B8" s="226">
        <f>SUM(B4:B7)</f>
        <v>3250</v>
      </c>
      <c r="C8" s="226">
        <f>SUM(C4:C7)</f>
        <v>5450</v>
      </c>
      <c r="D8" s="226">
        <f>SUM(D4:D7)</f>
        <v>6230</v>
      </c>
      <c r="E8" s="227">
        <f>SUM(E4:E7)</f>
        <v>6780</v>
      </c>
    </row>
  </sheetData>
  <mergeCells count="2">
    <mergeCell ref="A1:E1"/>
    <mergeCell ref="A2:E2"/>
  </mergeCells>
  <pageMargins left="0.75" right="0.75" top="1" bottom="1" header="0.5" footer="0.5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M10" sqref="M10"/>
    </sheetView>
  </sheetViews>
  <sheetFormatPr defaultColWidth="8.8" defaultRowHeight="15.6"/>
  <sheetData>
    <row r="1" spans="1:9">
      <c r="A1" s="1" t="s">
        <v>220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3"/>
      <c r="B6" s="4"/>
      <c r="C6" s="4"/>
      <c r="D6" s="4"/>
      <c r="E6" s="4"/>
      <c r="F6" s="4"/>
      <c r="G6" s="4"/>
      <c r="H6" s="4"/>
      <c r="I6" s="4"/>
    </row>
    <row r="7" spans="1:9">
      <c r="A7" s="3"/>
      <c r="B7" s="4"/>
      <c r="C7" s="4"/>
      <c r="D7" s="4"/>
      <c r="E7" s="4"/>
      <c r="F7" s="4"/>
      <c r="G7" s="4"/>
      <c r="H7" s="4"/>
      <c r="I7" s="4"/>
    </row>
    <row r="8" spans="1:9">
      <c r="A8" s="3"/>
      <c r="B8" s="5" t="s">
        <v>221</v>
      </c>
      <c r="C8" s="5"/>
      <c r="D8" s="5" t="s">
        <v>222</v>
      </c>
      <c r="E8" s="5"/>
      <c r="F8" s="5" t="s">
        <v>144</v>
      </c>
      <c r="G8" s="5"/>
      <c r="H8" s="5" t="s">
        <v>223</v>
      </c>
      <c r="I8" s="5"/>
    </row>
    <row r="9" spans="1:9">
      <c r="A9" s="3"/>
      <c r="B9" s="5"/>
      <c r="C9" s="5"/>
      <c r="D9" s="5"/>
      <c r="E9" s="5"/>
      <c r="F9" s="5"/>
      <c r="G9" s="5"/>
      <c r="H9" s="5"/>
      <c r="I9" s="5"/>
    </row>
    <row r="10" spans="1:9">
      <c r="A10" s="3"/>
      <c r="B10" s="5"/>
      <c r="C10" s="5"/>
      <c r="D10" s="5"/>
      <c r="E10" s="5"/>
      <c r="F10" s="5"/>
      <c r="G10" s="5"/>
      <c r="H10" s="5"/>
      <c r="I10" s="5"/>
    </row>
    <row r="11" spans="1:9">
      <c r="A11" s="3"/>
      <c r="B11" s="5"/>
      <c r="C11" s="5"/>
      <c r="D11" s="5"/>
      <c r="E11" s="5"/>
      <c r="F11" s="5"/>
      <c r="G11" s="5"/>
      <c r="H11" s="5"/>
      <c r="I11" s="5"/>
    </row>
    <row r="12" spans="1:9">
      <c r="A12" s="3"/>
      <c r="B12" s="5"/>
      <c r="C12" s="5"/>
      <c r="D12" s="5"/>
      <c r="E12" s="5"/>
      <c r="F12" s="5"/>
      <c r="G12" s="5"/>
      <c r="H12" s="5"/>
      <c r="I12" s="5"/>
    </row>
    <row r="13" spans="1:9">
      <c r="A13" s="3"/>
      <c r="B13" s="5"/>
      <c r="C13" s="5"/>
      <c r="D13" s="5"/>
      <c r="E13" s="5"/>
      <c r="F13" s="5"/>
      <c r="G13" s="5"/>
      <c r="H13" s="5"/>
      <c r="I13" s="5"/>
    </row>
    <row r="14" spans="1:9">
      <c r="A14" s="3"/>
      <c r="B14" s="5"/>
      <c r="C14" s="5"/>
      <c r="D14" s="5"/>
      <c r="E14" s="5"/>
      <c r="F14" s="5"/>
      <c r="G14" s="5"/>
      <c r="H14" s="5"/>
      <c r="I14" s="5"/>
    </row>
    <row r="15" spans="1:9">
      <c r="A15" s="3"/>
      <c r="B15" s="5"/>
      <c r="C15" s="5"/>
      <c r="D15" s="5"/>
      <c r="E15" s="5"/>
      <c r="F15" s="5"/>
      <c r="G15" s="5"/>
      <c r="H15" s="5"/>
      <c r="I15" s="5"/>
    </row>
    <row r="16" spans="1:9">
      <c r="A16" s="3"/>
      <c r="B16" s="5"/>
      <c r="C16" s="5"/>
      <c r="D16" s="5"/>
      <c r="E16" s="5"/>
      <c r="F16" s="5"/>
      <c r="G16" s="5"/>
      <c r="H16" s="5"/>
      <c r="I16" s="5"/>
    </row>
    <row r="17" spans="1:9">
      <c r="A17" s="3"/>
      <c r="B17" s="5"/>
      <c r="C17" s="5"/>
      <c r="D17" s="5"/>
      <c r="E17" s="5"/>
      <c r="F17" s="5"/>
      <c r="G17" s="5"/>
      <c r="H17" s="5"/>
      <c r="I17" s="5"/>
    </row>
    <row r="18" spans="1:9">
      <c r="A18" s="3"/>
      <c r="B18" s="5"/>
      <c r="C18" s="5"/>
      <c r="D18" s="5"/>
      <c r="E18" s="5"/>
      <c r="F18" s="5"/>
      <c r="G18" s="5"/>
      <c r="H18" s="5"/>
      <c r="I18" s="5"/>
    </row>
    <row r="19" spans="1:9">
      <c r="A19" s="3"/>
      <c r="B19" s="5"/>
      <c r="C19" s="5"/>
      <c r="D19" s="5"/>
      <c r="E19" s="5"/>
      <c r="F19" s="5"/>
      <c r="G19" s="5"/>
      <c r="H19" s="5"/>
      <c r="I19" s="5"/>
    </row>
    <row r="20" spans="1:9">
      <c r="A20" s="3"/>
      <c r="B20" s="5"/>
      <c r="C20" s="5"/>
      <c r="D20" s="5"/>
      <c r="E20" s="5"/>
      <c r="F20" s="5"/>
      <c r="G20" s="5"/>
      <c r="H20" s="5"/>
      <c r="I20" s="5"/>
    </row>
    <row r="21" spans="1:9">
      <c r="A21" s="3"/>
      <c r="B21" s="5"/>
      <c r="C21" s="5"/>
      <c r="D21" s="5"/>
      <c r="E21" s="5"/>
      <c r="F21" s="5"/>
      <c r="G21" s="5"/>
      <c r="H21" s="5"/>
      <c r="I21" s="5"/>
    </row>
    <row r="22" spans="1:9">
      <c r="A22" s="3"/>
      <c r="B22" s="5"/>
      <c r="C22" s="5"/>
      <c r="D22" s="5"/>
      <c r="E22" s="5"/>
      <c r="F22" s="5"/>
      <c r="G22" s="5"/>
      <c r="H22" s="5"/>
      <c r="I22" s="5"/>
    </row>
  </sheetData>
  <mergeCells count="1">
    <mergeCell ref="A1:I5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"/>
  <sheetViews>
    <sheetView workbookViewId="0">
      <selection activeCell="C2" sqref="C2"/>
    </sheetView>
  </sheetViews>
  <sheetFormatPr defaultColWidth="8.8" defaultRowHeight="15.6" outlineLevelCol="1"/>
  <cols>
    <col min="1" max="4" width="26.125" customWidth="1"/>
  </cols>
  <sheetData>
    <row r="1" ht="21" customHeight="1" spans="1:2">
      <c r="A1" s="125" t="s">
        <v>30</v>
      </c>
      <c r="B1" s="125"/>
    </row>
    <row r="2" ht="21" customHeight="1" spans="1:2">
      <c r="A2" s="219" t="s">
        <v>31</v>
      </c>
      <c r="B2" s="235" t="s">
        <v>32</v>
      </c>
    </row>
    <row r="3" ht="21" customHeight="1" spans="1:2">
      <c r="A3" s="236" t="s">
        <v>12</v>
      </c>
      <c r="B3" s="237">
        <v>12000</v>
      </c>
    </row>
    <row r="4" ht="21" customHeight="1" spans="1:2">
      <c r="A4" s="231" t="s">
        <v>13</v>
      </c>
      <c r="B4" s="238">
        <f>B3*0.14</f>
        <v>1680</v>
      </c>
    </row>
    <row r="5" ht="21" customHeight="1" spans="1:2">
      <c r="A5" s="231" t="s">
        <v>15</v>
      </c>
      <c r="B5" s="238">
        <v>2500</v>
      </c>
    </row>
    <row r="6" ht="21" customHeight="1" spans="1:2">
      <c r="A6" s="231" t="s">
        <v>16</v>
      </c>
      <c r="B6" s="238">
        <v>1200</v>
      </c>
    </row>
    <row r="7" ht="21" customHeight="1" spans="1:2">
      <c r="A7" s="231" t="s">
        <v>33</v>
      </c>
      <c r="B7" s="238">
        <v>5000</v>
      </c>
    </row>
    <row r="8" ht="21" customHeight="1" spans="1:2">
      <c r="A8" s="231" t="s">
        <v>19</v>
      </c>
      <c r="B8" s="238">
        <v>900</v>
      </c>
    </row>
    <row r="9" ht="21" customHeight="1" spans="1:2">
      <c r="A9" s="231" t="s">
        <v>34</v>
      </c>
      <c r="B9" s="238">
        <v>2100</v>
      </c>
    </row>
    <row r="10" ht="21" customHeight="1" spans="1:2">
      <c r="A10" s="231" t="s">
        <v>35</v>
      </c>
      <c r="B10" s="238">
        <v>1500</v>
      </c>
    </row>
    <row r="11" ht="21" customHeight="1" spans="1:2">
      <c r="A11" s="231" t="s">
        <v>20</v>
      </c>
      <c r="B11" s="238">
        <v>2600</v>
      </c>
    </row>
    <row r="12" ht="21" customHeight="1" spans="1:2">
      <c r="A12" s="231" t="s">
        <v>36</v>
      </c>
      <c r="B12" s="238">
        <v>1820</v>
      </c>
    </row>
    <row r="13" ht="21" customHeight="1" spans="1:2">
      <c r="A13" s="231" t="s">
        <v>37</v>
      </c>
      <c r="B13" s="238">
        <v>3200</v>
      </c>
    </row>
    <row r="14" ht="21" customHeight="1" spans="1:2">
      <c r="A14" s="231"/>
      <c r="B14" s="238"/>
    </row>
    <row r="15" ht="21" customHeight="1" spans="1:2">
      <c r="A15" s="233" t="s">
        <v>38</v>
      </c>
      <c r="B15" s="239">
        <f>SUM(B3:B14)</f>
        <v>34500</v>
      </c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D4" sqref="D4"/>
    </sheetView>
  </sheetViews>
  <sheetFormatPr defaultColWidth="8.8" defaultRowHeight="19.9" customHeight="1" outlineLevelRow="4" outlineLevelCol="1"/>
  <cols>
    <col min="1" max="1" width="28.875" customWidth="1"/>
    <col min="2" max="2" width="26.5" customWidth="1"/>
  </cols>
  <sheetData>
    <row r="1" ht="21" customHeight="1" spans="1:2">
      <c r="A1" s="228" t="s">
        <v>39</v>
      </c>
      <c r="B1" s="228"/>
    </row>
    <row r="2" ht="21" customHeight="1" spans="1:2">
      <c r="A2" s="229" t="s">
        <v>25</v>
      </c>
      <c r="B2" s="230" t="s">
        <v>40</v>
      </c>
    </row>
    <row r="3" ht="21" customHeight="1" spans="1:2">
      <c r="A3" s="231" t="s">
        <v>41</v>
      </c>
      <c r="B3" s="232">
        <v>1.85</v>
      </c>
    </row>
    <row r="4" ht="21" customHeight="1" spans="1:2">
      <c r="A4" s="231" t="s">
        <v>42</v>
      </c>
      <c r="B4" s="232">
        <v>4.25</v>
      </c>
    </row>
    <row r="5" ht="21" customHeight="1" spans="1:2">
      <c r="A5" s="233" t="s">
        <v>43</v>
      </c>
      <c r="B5" s="234">
        <v>4.65</v>
      </c>
    </row>
  </sheetData>
  <mergeCells count="1">
    <mergeCell ref="A1:B1"/>
  </mergeCells>
  <pageMargins left="0.75" right="0.75" top="1" bottom="1" header="0.5" footer="0.5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selection activeCell="A1" sqref="A1:D8"/>
    </sheetView>
  </sheetViews>
  <sheetFormatPr defaultColWidth="8.8" defaultRowHeight="15.6" outlineLevelRow="7" outlineLevelCol="3"/>
  <cols>
    <col min="1" max="1" width="12.375" customWidth="1"/>
    <col min="2" max="2" width="13.5" customWidth="1"/>
    <col min="3" max="3" width="15.5" customWidth="1"/>
    <col min="4" max="4" width="15.75" customWidth="1"/>
  </cols>
  <sheetData>
    <row r="1" ht="21" customHeight="1" spans="1:4">
      <c r="A1" s="125" t="s">
        <v>44</v>
      </c>
      <c r="B1" s="125"/>
      <c r="C1" s="125"/>
      <c r="D1" s="125"/>
    </row>
    <row r="2" ht="21" customHeight="1" spans="1:4">
      <c r="A2" s="219" t="s">
        <v>45</v>
      </c>
      <c r="B2" s="219" t="s">
        <v>46</v>
      </c>
      <c r="C2" s="219" t="s">
        <v>47</v>
      </c>
      <c r="D2" s="219" t="s">
        <v>48</v>
      </c>
    </row>
    <row r="3" ht="21" customHeight="1" spans="1:4">
      <c r="A3" s="220" t="s">
        <v>3</v>
      </c>
      <c r="B3" s="221"/>
      <c r="C3" s="221"/>
      <c r="D3" s="222">
        <v>4500</v>
      </c>
    </row>
    <row r="4" ht="21" customHeight="1" spans="1:4">
      <c r="A4" s="223" t="s">
        <v>4</v>
      </c>
      <c r="B4" s="186"/>
      <c r="C4" s="186"/>
      <c r="D4" s="224">
        <v>3000</v>
      </c>
    </row>
    <row r="5" ht="21" customHeight="1" spans="1:4">
      <c r="A5" s="223" t="s">
        <v>5</v>
      </c>
      <c r="B5" s="186"/>
      <c r="C5" s="186"/>
      <c r="D5" s="224">
        <v>2000</v>
      </c>
    </row>
    <row r="6" ht="21" customHeight="1" spans="1:4">
      <c r="A6" s="223" t="s">
        <v>6</v>
      </c>
      <c r="B6" s="150">
        <v>25000</v>
      </c>
      <c r="C6" s="150">
        <v>31520</v>
      </c>
      <c r="D6" s="224">
        <v>8500</v>
      </c>
    </row>
    <row r="7" ht="21" customHeight="1" spans="1:4">
      <c r="A7" s="223"/>
      <c r="B7" s="150"/>
      <c r="C7" s="150"/>
      <c r="D7" s="224"/>
    </row>
    <row r="8" ht="21" customHeight="1" spans="1:4">
      <c r="A8" s="225" t="s">
        <v>49</v>
      </c>
      <c r="B8" s="226">
        <f>SUM(B3:B7)</f>
        <v>25000</v>
      </c>
      <c r="C8" s="226">
        <f>SUM(C3:C7)</f>
        <v>31520</v>
      </c>
      <c r="D8" s="227">
        <f>SUM(D3:D7)</f>
        <v>18000</v>
      </c>
    </row>
  </sheetData>
  <mergeCells count="1">
    <mergeCell ref="A1:D1"/>
  </mergeCells>
  <pageMargins left="0.75" right="0.75" top="1" bottom="1" header="0.5" footer="0.5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I6" sqref="I6"/>
    </sheetView>
  </sheetViews>
  <sheetFormatPr defaultColWidth="8.8" defaultRowHeight="15.6"/>
  <cols>
    <col min="1" max="6" width="18.7" customWidth="1"/>
    <col min="9" max="9" width="11.5"/>
  </cols>
  <sheetData>
    <row r="1" ht="21" customHeight="1" spans="1:6">
      <c r="A1" s="125" t="s">
        <v>50</v>
      </c>
      <c r="B1" s="125"/>
      <c r="C1" s="125"/>
      <c r="D1" s="125"/>
      <c r="E1" s="125"/>
      <c r="F1" s="125"/>
    </row>
    <row r="2" ht="21" customHeight="1" spans="1:6">
      <c r="A2" s="216" t="s">
        <v>51</v>
      </c>
      <c r="B2" s="217"/>
      <c r="C2" s="217"/>
      <c r="D2" s="217"/>
      <c r="E2" s="217"/>
      <c r="F2" s="217"/>
    </row>
    <row r="3" ht="21" customHeight="1" spans="1:6">
      <c r="A3" s="74" t="s">
        <v>45</v>
      </c>
      <c r="B3" s="104" t="s">
        <v>52</v>
      </c>
      <c r="C3" s="104" t="s">
        <v>53</v>
      </c>
      <c r="D3" s="104" t="s">
        <v>54</v>
      </c>
      <c r="E3" s="104" t="s">
        <v>55</v>
      </c>
      <c r="F3" s="166" t="s">
        <v>56</v>
      </c>
    </row>
    <row r="4" ht="21" customHeight="1" spans="1:6">
      <c r="A4" s="16" t="s">
        <v>57</v>
      </c>
      <c r="B4" s="186">
        <f>预计销售表!B3</f>
        <v>2000</v>
      </c>
      <c r="C4" s="186">
        <f>预计销售表!B4</f>
        <v>2500</v>
      </c>
      <c r="D4" s="186">
        <f>预计销售表!B5</f>
        <v>3000</v>
      </c>
      <c r="E4" s="186">
        <f>预计销售表!B6</f>
        <v>2800</v>
      </c>
      <c r="F4" s="187">
        <f>SUM(B4:E4)</f>
        <v>10300</v>
      </c>
    </row>
    <row r="5" ht="21" customHeight="1" spans="1:6">
      <c r="A5" s="16" t="s">
        <v>58</v>
      </c>
      <c r="B5" s="150">
        <f>预计销售表!$B$9</f>
        <v>105</v>
      </c>
      <c r="C5" s="150">
        <f>预计销售表!$B$9</f>
        <v>105</v>
      </c>
      <c r="D5" s="150">
        <f>预计销售表!$B$9</f>
        <v>105</v>
      </c>
      <c r="E5" s="150">
        <f>预计销售表!$B$9</f>
        <v>105</v>
      </c>
      <c r="F5" s="20">
        <f>SUM(B5:E5)/4</f>
        <v>105</v>
      </c>
    </row>
    <row r="6" ht="21" customHeight="1" spans="1:6">
      <c r="A6" s="171" t="s">
        <v>59</v>
      </c>
      <c r="B6" s="153">
        <f>B4*B5</f>
        <v>210000</v>
      </c>
      <c r="C6" s="153">
        <f>C4*C5</f>
        <v>262500</v>
      </c>
      <c r="D6" s="153">
        <f>D4*D5</f>
        <v>315000</v>
      </c>
      <c r="E6" s="153">
        <f>E4*E5</f>
        <v>294000</v>
      </c>
      <c r="F6" s="154">
        <f>SUM(B6:E6)</f>
        <v>1081500</v>
      </c>
    </row>
    <row r="7" ht="21" customHeight="1" spans="1:6">
      <c r="A7" s="218" t="s">
        <v>60</v>
      </c>
      <c r="B7" s="218"/>
      <c r="C7" s="218"/>
      <c r="D7" s="218"/>
      <c r="E7" s="218"/>
      <c r="F7" s="218"/>
    </row>
    <row r="8" ht="21" customHeight="1" spans="1:6">
      <c r="A8" s="216" t="s">
        <v>61</v>
      </c>
      <c r="B8" s="216"/>
      <c r="C8" s="216"/>
      <c r="D8" s="216"/>
      <c r="E8" s="216"/>
      <c r="F8" s="216"/>
    </row>
    <row r="9" ht="21" customHeight="1" spans="1:6">
      <c r="A9" s="74" t="s">
        <v>45</v>
      </c>
      <c r="B9" s="104" t="s">
        <v>52</v>
      </c>
      <c r="C9" s="104" t="s">
        <v>53</v>
      </c>
      <c r="D9" s="104" t="s">
        <v>54</v>
      </c>
      <c r="E9" s="104" t="s">
        <v>55</v>
      </c>
      <c r="F9" s="166" t="s">
        <v>56</v>
      </c>
    </row>
    <row r="10" ht="21" customHeight="1" spans="1:6">
      <c r="A10" s="16" t="s">
        <v>62</v>
      </c>
      <c r="B10" s="150">
        <v>45000</v>
      </c>
      <c r="C10" s="150"/>
      <c r="D10" s="150"/>
      <c r="E10" s="150"/>
      <c r="F10" s="20">
        <f t="shared" ref="F10:F15" si="0">SUM(B10:E10)</f>
        <v>45000</v>
      </c>
    </row>
    <row r="11" ht="21" customHeight="1" spans="1:6">
      <c r="A11" s="16" t="s">
        <v>3</v>
      </c>
      <c r="B11" s="150">
        <f>B6*0.6</f>
        <v>126000</v>
      </c>
      <c r="C11" s="150">
        <f>B6-B11</f>
        <v>84000</v>
      </c>
      <c r="D11" s="150"/>
      <c r="E11" s="150"/>
      <c r="F11" s="20">
        <f t="shared" si="0"/>
        <v>210000</v>
      </c>
    </row>
    <row r="12" ht="21" customHeight="1" spans="1:6">
      <c r="A12" s="16" t="s">
        <v>4</v>
      </c>
      <c r="B12" s="150"/>
      <c r="C12" s="150">
        <f>C6*0.6</f>
        <v>157500</v>
      </c>
      <c r="D12" s="150">
        <f>C6-C12</f>
        <v>105000</v>
      </c>
      <c r="E12" s="150"/>
      <c r="F12" s="20">
        <f t="shared" si="0"/>
        <v>262500</v>
      </c>
    </row>
    <row r="13" ht="21" customHeight="1" spans="1:6">
      <c r="A13" s="16" t="s">
        <v>5</v>
      </c>
      <c r="B13" s="150"/>
      <c r="C13" s="150"/>
      <c r="D13" s="150">
        <f>D6*0.6</f>
        <v>189000</v>
      </c>
      <c r="E13" s="150">
        <f>D6-D13</f>
        <v>126000</v>
      </c>
      <c r="F13" s="20">
        <f t="shared" si="0"/>
        <v>315000</v>
      </c>
    </row>
    <row r="14" ht="21" customHeight="1" spans="1:6">
      <c r="A14" s="16" t="s">
        <v>6</v>
      </c>
      <c r="B14" s="150"/>
      <c r="C14" s="150"/>
      <c r="D14" s="150"/>
      <c r="E14" s="150">
        <f>E6*0.6</f>
        <v>176400</v>
      </c>
      <c r="F14" s="20">
        <f t="shared" si="0"/>
        <v>176400</v>
      </c>
    </row>
    <row r="15" ht="21" customHeight="1" spans="1:9">
      <c r="A15" s="171" t="s">
        <v>63</v>
      </c>
      <c r="B15" s="153">
        <f>SUM(B10:B14)</f>
        <v>171000</v>
      </c>
      <c r="C15" s="153">
        <f>SUM(C10:C14)</f>
        <v>241500</v>
      </c>
      <c r="D15" s="153">
        <f>SUM(D10:D14)</f>
        <v>294000</v>
      </c>
      <c r="E15" s="153">
        <f>SUM(E10:E14)</f>
        <v>302400</v>
      </c>
      <c r="F15" s="154">
        <f t="shared" si="0"/>
        <v>1008900</v>
      </c>
      <c r="I15" s="36"/>
    </row>
    <row r="16" ht="16.35"/>
  </sheetData>
  <mergeCells count="2">
    <mergeCell ref="A1:F1"/>
    <mergeCell ref="A7:F7"/>
  </mergeCells>
  <pageMargins left="0.75" right="0.75" top="1" bottom="1" header="0.5" footer="0.5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showFormulas="1" workbookViewId="0">
      <selection activeCell="H4" sqref="H4"/>
    </sheetView>
  </sheetViews>
  <sheetFormatPr defaultColWidth="8.8" defaultRowHeight="15.6" outlineLevelCol="7"/>
  <cols>
    <col min="1" max="6" width="18.7" customWidth="1"/>
  </cols>
  <sheetData>
    <row r="1" ht="21" customHeight="1" spans="1:6">
      <c r="A1" s="125" t="s">
        <v>64</v>
      </c>
      <c r="B1" s="125"/>
      <c r="C1" s="125"/>
      <c r="D1" s="125"/>
      <c r="E1" s="125"/>
      <c r="F1" s="125"/>
    </row>
    <row r="2" ht="21" customHeight="1" spans="1:6">
      <c r="A2" s="200" t="s">
        <v>65</v>
      </c>
      <c r="B2" s="200"/>
      <c r="C2" s="200"/>
      <c r="D2" s="200"/>
      <c r="E2" s="200"/>
      <c r="F2" s="200"/>
    </row>
    <row r="3" ht="21" customHeight="1" spans="1:6">
      <c r="A3" s="207" t="s">
        <v>25</v>
      </c>
      <c r="B3" s="208" t="s">
        <v>66</v>
      </c>
      <c r="C3" s="208" t="s">
        <v>67</v>
      </c>
      <c r="D3" s="208" t="s">
        <v>68</v>
      </c>
      <c r="E3" s="208" t="s">
        <v>69</v>
      </c>
      <c r="F3" s="209" t="s">
        <v>56</v>
      </c>
    </row>
    <row r="4" ht="21" customHeight="1" spans="1:8">
      <c r="A4" s="210" t="s">
        <v>70</v>
      </c>
      <c r="B4" s="211">
        <f>预计销售表!B3</f>
        <v>2000</v>
      </c>
      <c r="C4" s="211">
        <f>预计销售表!B4</f>
        <v>2500</v>
      </c>
      <c r="D4" s="211">
        <f>预计销售表!B5</f>
        <v>3000</v>
      </c>
      <c r="E4" s="211">
        <f>预计销售表!B6</f>
        <v>2800</v>
      </c>
      <c r="F4" s="212">
        <f>SUM(B4:E4)</f>
        <v>10300</v>
      </c>
      <c r="G4" s="120"/>
      <c r="H4" s="120"/>
    </row>
    <row r="5" ht="21" customHeight="1" spans="1:8">
      <c r="A5" s="210" t="s">
        <v>71</v>
      </c>
      <c r="B5" s="211">
        <f>C4*0.1</f>
        <v>250</v>
      </c>
      <c r="C5" s="211">
        <f>D4*0.1</f>
        <v>300</v>
      </c>
      <c r="D5" s="211">
        <f>E4*0.1</f>
        <v>280</v>
      </c>
      <c r="E5" s="211">
        <v>280</v>
      </c>
      <c r="F5" s="212">
        <f>E5</f>
        <v>280</v>
      </c>
      <c r="G5" s="120"/>
      <c r="H5" s="120"/>
    </row>
    <row r="6" ht="21" customHeight="1" spans="1:8">
      <c r="A6" s="210" t="s">
        <v>72</v>
      </c>
      <c r="B6" s="211">
        <f>B4+B5</f>
        <v>2250</v>
      </c>
      <c r="C6" s="211">
        <f>C4+C5</f>
        <v>2800</v>
      </c>
      <c r="D6" s="211">
        <f>D4+D5</f>
        <v>3280</v>
      </c>
      <c r="E6" s="211">
        <f>E4+E5</f>
        <v>3080</v>
      </c>
      <c r="F6" s="212">
        <f>F4+F5</f>
        <v>10580</v>
      </c>
      <c r="G6" s="120"/>
      <c r="H6" s="120"/>
    </row>
    <row r="7" ht="21" customHeight="1" spans="1:8">
      <c r="A7" s="210" t="s">
        <v>73</v>
      </c>
      <c r="B7" s="211">
        <v>300</v>
      </c>
      <c r="C7" s="211">
        <f>B5</f>
        <v>250</v>
      </c>
      <c r="D7" s="211">
        <f>C5</f>
        <v>300</v>
      </c>
      <c r="E7" s="211">
        <f>D5</f>
        <v>280</v>
      </c>
      <c r="F7" s="212">
        <f>B7</f>
        <v>300</v>
      </c>
      <c r="G7" s="120"/>
      <c r="H7" s="120"/>
    </row>
    <row r="8" ht="21" customHeight="1" spans="1:8">
      <c r="A8" s="210" t="s">
        <v>74</v>
      </c>
      <c r="B8" s="211">
        <f>B6-B7</f>
        <v>1950</v>
      </c>
      <c r="C8" s="211">
        <f>C6-C7</f>
        <v>2550</v>
      </c>
      <c r="D8" s="211">
        <f>D6-D7</f>
        <v>2980</v>
      </c>
      <c r="E8" s="211">
        <f>E6-E7</f>
        <v>2800</v>
      </c>
      <c r="F8" s="212">
        <f>F6-F7</f>
        <v>10280</v>
      </c>
      <c r="G8" s="120"/>
      <c r="H8" s="120"/>
    </row>
    <row r="9" ht="21" customHeight="1" spans="1:8">
      <c r="A9" s="210"/>
      <c r="B9" s="211"/>
      <c r="C9" s="211"/>
      <c r="D9" s="211"/>
      <c r="E9" s="211"/>
      <c r="F9" s="212"/>
      <c r="G9" s="120"/>
      <c r="H9" s="120"/>
    </row>
    <row r="10" ht="21" customHeight="1" spans="1:8">
      <c r="A10" s="210" t="s">
        <v>75</v>
      </c>
      <c r="B10" s="211"/>
      <c r="C10" s="211"/>
      <c r="D10" s="211"/>
      <c r="E10" s="211"/>
      <c r="F10" s="212"/>
      <c r="G10" s="120"/>
      <c r="H10" s="120"/>
    </row>
    <row r="11" ht="21" customHeight="1" spans="1:8">
      <c r="A11" s="210" t="s">
        <v>76</v>
      </c>
      <c r="B11" s="211">
        <f>B8*预计定额成本!$B$3</f>
        <v>3607.5</v>
      </c>
      <c r="C11" s="211">
        <f>C8*预计定额成本!$B$3</f>
        <v>4717.5</v>
      </c>
      <c r="D11" s="211">
        <f>D8*预计定额成本!$B$3</f>
        <v>5513</v>
      </c>
      <c r="E11" s="211">
        <f>E8*预计定额成本!$B$3</f>
        <v>5180</v>
      </c>
      <c r="F11" s="212">
        <f>F8*预计定额成本!B3</f>
        <v>19018</v>
      </c>
      <c r="G11" s="120"/>
      <c r="H11" s="120"/>
    </row>
    <row r="12" ht="21" customHeight="1" spans="1:8">
      <c r="A12" s="210" t="s">
        <v>77</v>
      </c>
      <c r="B12" s="211"/>
      <c r="C12" s="211"/>
      <c r="D12" s="211"/>
      <c r="E12" s="211"/>
      <c r="F12" s="212"/>
      <c r="G12" s="120"/>
      <c r="H12" s="120"/>
    </row>
    <row r="13" ht="21" customHeight="1" spans="1:8">
      <c r="A13" s="213" t="s">
        <v>78</v>
      </c>
      <c r="B13" s="214">
        <f>B8*预计定额成本!$B$4</f>
        <v>8287.5</v>
      </c>
      <c r="C13" s="214">
        <f>C8*预计定额成本!$B$4</f>
        <v>10837.5</v>
      </c>
      <c r="D13" s="214">
        <f>D8*预计定额成本!$B$4</f>
        <v>12665</v>
      </c>
      <c r="E13" s="214">
        <f>E8*预计定额成本!$B$4</f>
        <v>11900</v>
      </c>
      <c r="F13" s="215">
        <f>F8*预计定额成本!B4</f>
        <v>43690</v>
      </c>
      <c r="G13" s="120"/>
      <c r="H13" s="120"/>
    </row>
    <row r="14" spans="1:6">
      <c r="A14" s="136"/>
      <c r="B14" s="136"/>
      <c r="C14" s="136"/>
      <c r="D14" s="136"/>
      <c r="E14" s="136"/>
      <c r="F14" s="136"/>
    </row>
  </sheetData>
  <mergeCells count="2">
    <mergeCell ref="A1:F1"/>
    <mergeCell ref="A2:F2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I7" sqref="I7"/>
    </sheetView>
  </sheetViews>
  <sheetFormatPr defaultColWidth="8.8" defaultRowHeight="15.6" outlineLevelCol="5"/>
  <cols>
    <col min="1" max="6" width="20.7" customWidth="1"/>
  </cols>
  <sheetData>
    <row r="1" ht="21" customHeight="1" spans="1:6">
      <c r="A1" s="125" t="s">
        <v>64</v>
      </c>
      <c r="B1" s="125"/>
      <c r="C1" s="125"/>
      <c r="D1" s="125"/>
      <c r="E1" s="125"/>
      <c r="F1" s="125"/>
    </row>
    <row r="2" ht="21" customHeight="1" spans="1:6">
      <c r="A2" s="69" t="s">
        <v>79</v>
      </c>
      <c r="B2" s="69"/>
      <c r="C2" s="69"/>
      <c r="D2" s="69"/>
      <c r="E2" s="69"/>
      <c r="F2" s="69"/>
    </row>
    <row r="3" ht="21" customHeight="1" spans="1:6">
      <c r="A3" s="8" t="s">
        <v>25</v>
      </c>
      <c r="B3" s="204" t="s">
        <v>66</v>
      </c>
      <c r="C3" s="204" t="s">
        <v>67</v>
      </c>
      <c r="D3" s="204" t="s">
        <v>68</v>
      </c>
      <c r="E3" s="204" t="s">
        <v>69</v>
      </c>
      <c r="F3" s="11" t="s">
        <v>56</v>
      </c>
    </row>
    <row r="4" ht="21" customHeight="1" spans="1:6">
      <c r="A4" s="76" t="s">
        <v>70</v>
      </c>
      <c r="B4" s="186">
        <f>预计销售表!B3</f>
        <v>2000</v>
      </c>
      <c r="C4" s="186">
        <f>预计销售表!B4</f>
        <v>2500</v>
      </c>
      <c r="D4" s="186">
        <f>预计销售表!B5</f>
        <v>3000</v>
      </c>
      <c r="E4" s="186">
        <f>预计销售表!B6</f>
        <v>2800</v>
      </c>
      <c r="F4" s="187">
        <f>SUM(B4:E4)</f>
        <v>10300</v>
      </c>
    </row>
    <row r="5" ht="21" customHeight="1" spans="1:6">
      <c r="A5" s="76" t="s">
        <v>71</v>
      </c>
      <c r="B5" s="186">
        <f>C4*0.1</f>
        <v>250</v>
      </c>
      <c r="C5" s="186">
        <f>D4*0.1</f>
        <v>300</v>
      </c>
      <c r="D5" s="186">
        <f>E4*0.1</f>
        <v>280</v>
      </c>
      <c r="E5" s="186">
        <v>280</v>
      </c>
      <c r="F5" s="187">
        <f>E5</f>
        <v>280</v>
      </c>
    </row>
    <row r="6" ht="21" customHeight="1" spans="1:6">
      <c r="A6" s="76" t="s">
        <v>72</v>
      </c>
      <c r="B6" s="186">
        <f>B4+B5</f>
        <v>2250</v>
      </c>
      <c r="C6" s="186">
        <f>C4+C5</f>
        <v>2800</v>
      </c>
      <c r="D6" s="186">
        <f>D4+D5</f>
        <v>3280</v>
      </c>
      <c r="E6" s="186">
        <f>E4+E5</f>
        <v>3080</v>
      </c>
      <c r="F6" s="187">
        <f>F4+F5</f>
        <v>10580</v>
      </c>
    </row>
    <row r="7" ht="21" customHeight="1" spans="1:6">
      <c r="A7" s="76" t="s">
        <v>73</v>
      </c>
      <c r="B7" s="186">
        <v>300</v>
      </c>
      <c r="C7" s="186">
        <f>B5</f>
        <v>250</v>
      </c>
      <c r="D7" s="186">
        <f>C5</f>
        <v>300</v>
      </c>
      <c r="E7" s="186">
        <f>D5</f>
        <v>280</v>
      </c>
      <c r="F7" s="187">
        <f>B7</f>
        <v>300</v>
      </c>
    </row>
    <row r="8" ht="21" customHeight="1" spans="1:6">
      <c r="A8" s="76" t="s">
        <v>74</v>
      </c>
      <c r="B8" s="186">
        <f>B6-B7</f>
        <v>1950</v>
      </c>
      <c r="C8" s="186">
        <f>C6-C7</f>
        <v>2550</v>
      </c>
      <c r="D8" s="186">
        <f>D6-D7</f>
        <v>2980</v>
      </c>
      <c r="E8" s="186">
        <f>E6-E7</f>
        <v>2800</v>
      </c>
      <c r="F8" s="187">
        <f>F6-F7</f>
        <v>10280</v>
      </c>
    </row>
    <row r="9" ht="21" customHeight="1" spans="1:6">
      <c r="A9" s="76"/>
      <c r="B9" s="186"/>
      <c r="C9" s="186"/>
      <c r="D9" s="186"/>
      <c r="E9" s="186"/>
      <c r="F9" s="187"/>
    </row>
    <row r="10" ht="21" customHeight="1" spans="1:6">
      <c r="A10" s="76" t="s">
        <v>75</v>
      </c>
      <c r="B10" s="186"/>
      <c r="C10" s="186"/>
      <c r="D10" s="186"/>
      <c r="E10" s="186"/>
      <c r="F10" s="187"/>
    </row>
    <row r="11" ht="21" customHeight="1" spans="1:6">
      <c r="A11" s="76" t="s">
        <v>76</v>
      </c>
      <c r="B11" s="186">
        <f>B8*预计定额成本!$B$3</f>
        <v>3607.5</v>
      </c>
      <c r="C11" s="186">
        <f>C8*预计定额成本!$B$3</f>
        <v>4717.5</v>
      </c>
      <c r="D11" s="186">
        <f>D8*预计定额成本!$B$3</f>
        <v>5513</v>
      </c>
      <c r="E11" s="186">
        <f>E8*预计定额成本!$B$3</f>
        <v>5180</v>
      </c>
      <c r="F11" s="187">
        <f>F8*预计定额成本!B3</f>
        <v>19018</v>
      </c>
    </row>
    <row r="12" ht="21" customHeight="1" spans="1:6">
      <c r="A12" s="76" t="s">
        <v>77</v>
      </c>
      <c r="B12" s="186"/>
      <c r="C12" s="186"/>
      <c r="D12" s="186"/>
      <c r="E12" s="186"/>
      <c r="F12" s="187"/>
    </row>
    <row r="13" ht="21" customHeight="1" spans="1:6">
      <c r="A13" s="188" t="s">
        <v>78</v>
      </c>
      <c r="B13" s="205">
        <f>B8*预计定额成本!$B$4</f>
        <v>8287.5</v>
      </c>
      <c r="C13" s="205">
        <f>C8*预计定额成本!$B$4</f>
        <v>10837.5</v>
      </c>
      <c r="D13" s="205">
        <f>D8*预计定额成本!$B$4</f>
        <v>12665</v>
      </c>
      <c r="E13" s="205">
        <f>E8*预计定额成本!$B$4</f>
        <v>11900</v>
      </c>
      <c r="F13" s="206">
        <f>F8*预计定额成本!B4</f>
        <v>43690</v>
      </c>
    </row>
    <row r="14" ht="16.35"/>
  </sheetData>
  <mergeCells count="1">
    <mergeCell ref="A1:F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预计销售表</vt:lpstr>
      <vt:lpstr>预计制造费用明细表</vt:lpstr>
      <vt:lpstr>预计制造费用明细表 </vt:lpstr>
      <vt:lpstr>预计管理费用明细表</vt:lpstr>
      <vt:lpstr>预计定额成本</vt:lpstr>
      <vt:lpstr>预计投资收益和营业外收入支出表</vt:lpstr>
      <vt:lpstr>销售预算分析</vt:lpstr>
      <vt:lpstr>生产预算分析表公式</vt:lpstr>
      <vt:lpstr>生产预算分析表</vt:lpstr>
      <vt:lpstr>直接材料预算分析表公式</vt:lpstr>
      <vt:lpstr>直接材料预算分析表</vt:lpstr>
      <vt:lpstr>直接人工预算分析表公式</vt:lpstr>
      <vt:lpstr>直接人工预算分析表</vt:lpstr>
      <vt:lpstr>制造费用预算分析表公式</vt:lpstr>
      <vt:lpstr>制造费用预算分析表</vt:lpstr>
      <vt:lpstr>财务费用预算分析表</vt:lpstr>
      <vt:lpstr>财务费用预算分析表公式</vt:lpstr>
      <vt:lpstr>预计财务费用明细表</vt:lpstr>
      <vt:lpstr>管理费用预算分析表</vt:lpstr>
      <vt:lpstr>管理费用预算分析表公式 </vt:lpstr>
      <vt:lpstr>营业费用预算分析表</vt:lpstr>
      <vt:lpstr>营业费用预算分析表公式</vt:lpstr>
      <vt:lpstr>成本预算分析表公式</vt:lpstr>
      <vt:lpstr>产品成本预算分析表</vt:lpstr>
      <vt:lpstr>现金预算分析表</vt:lpstr>
      <vt:lpstr>损益表公式</vt:lpstr>
      <vt:lpstr>预算损益表</vt:lpstr>
      <vt:lpstr>资产负债表公式</vt:lpstr>
      <vt:lpstr>预算资产负债表</vt:lpstr>
      <vt:lpstr>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1996-12-17T01:32:42Z</dcterms:created>
  <dcterms:modified xsi:type="dcterms:W3CDTF">2018-04-15T10:57:42Z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